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94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74" i="1"/>
  <c r="AA72"/>
  <c r="S243"/>
  <c r="S241"/>
  <c r="S239"/>
  <c r="S237"/>
  <c r="S235"/>
  <c r="S233"/>
  <c r="S231"/>
  <c r="S229"/>
  <c r="S227"/>
  <c r="S226"/>
  <c r="S225"/>
  <c r="S223"/>
  <c r="S222"/>
  <c r="S221"/>
  <c r="S219"/>
  <c r="S217"/>
  <c r="S213"/>
  <c r="S212"/>
  <c r="S215"/>
  <c r="S210"/>
  <c r="S211"/>
  <c r="B112"/>
  <c r="B80"/>
  <c r="S244" l="1"/>
  <c r="S242"/>
  <c r="S240"/>
  <c r="S238"/>
  <c r="S236"/>
  <c r="S234"/>
  <c r="S232"/>
  <c r="S230"/>
  <c r="S228"/>
  <c r="S224"/>
  <c r="S220"/>
  <c r="S218"/>
  <c r="S216"/>
  <c r="S214"/>
  <c r="Q89"/>
  <c r="Q88"/>
  <c r="Q87"/>
  <c r="Q86"/>
  <c r="Q85"/>
  <c r="Q84"/>
  <c r="Q83"/>
  <c r="Q82"/>
  <c r="Q81"/>
  <c r="Q80"/>
  <c r="I150"/>
  <c r="I118"/>
  <c r="B150"/>
  <c r="M158"/>
  <c r="B118"/>
  <c r="P118" s="1"/>
  <c r="P214" s="1"/>
  <c r="P255" s="1"/>
  <c r="H69"/>
  <c r="E69"/>
  <c r="B69"/>
  <c r="B77"/>
  <c r="B166" l="1"/>
  <c r="B100"/>
  <c r="B98"/>
  <c r="B96"/>
  <c r="B94"/>
  <c r="B92"/>
  <c r="B101"/>
  <c r="B89"/>
  <c r="B87"/>
  <c r="B85"/>
  <c r="B83"/>
  <c r="B95"/>
  <c r="B82"/>
  <c r="B90"/>
  <c r="B86"/>
  <c r="B99"/>
  <c r="B97"/>
  <c r="B93"/>
  <c r="B88"/>
  <c r="B84"/>
  <c r="B81"/>
  <c r="B111"/>
  <c r="P150"/>
  <c r="P246" s="1"/>
  <c r="P260" s="1"/>
  <c r="B105"/>
  <c r="B107"/>
  <c r="B109"/>
  <c r="B103"/>
  <c r="B106"/>
  <c r="B108"/>
  <c r="B110"/>
  <c r="B104"/>
  <c r="B102"/>
  <c r="B156"/>
  <c r="B91"/>
  <c r="B154" l="1"/>
  <c r="B203" s="1"/>
  <c r="Q246" s="1"/>
  <c r="Q260" s="1"/>
  <c r="B122"/>
  <c r="P122" s="1"/>
  <c r="P218" s="1"/>
  <c r="I122"/>
  <c r="I131"/>
  <c r="B131"/>
  <c r="P131" s="1"/>
  <c r="P227" s="1"/>
  <c r="I137"/>
  <c r="B137"/>
  <c r="P137" s="1"/>
  <c r="P233" s="1"/>
  <c r="B124"/>
  <c r="P124" s="1"/>
  <c r="P220" s="1"/>
  <c r="I124"/>
  <c r="B120"/>
  <c r="P120" s="1"/>
  <c r="P216" s="1"/>
  <c r="I120"/>
  <c r="I121"/>
  <c r="B121"/>
  <c r="P121" s="1"/>
  <c r="P217" s="1"/>
  <c r="I125"/>
  <c r="B125"/>
  <c r="P125" s="1"/>
  <c r="P221" s="1"/>
  <c r="B132"/>
  <c r="I132"/>
  <c r="P132"/>
  <c r="P228" s="1"/>
  <c r="B136"/>
  <c r="I136"/>
  <c r="P136"/>
  <c r="P232" s="1"/>
  <c r="I129"/>
  <c r="B129"/>
  <c r="P129" s="1"/>
  <c r="I149"/>
  <c r="I119"/>
  <c r="B119"/>
  <c r="P119" s="1"/>
  <c r="P215" s="1"/>
  <c r="P256" s="1"/>
  <c r="B126"/>
  <c r="P126" s="1"/>
  <c r="P222" s="1"/>
  <c r="I126"/>
  <c r="I135"/>
  <c r="B135"/>
  <c r="P135" s="1"/>
  <c r="P231" s="1"/>
  <c r="B128"/>
  <c r="P128" s="1"/>
  <c r="P224" s="1"/>
  <c r="I128"/>
  <c r="I133"/>
  <c r="B133"/>
  <c r="P133" s="1"/>
  <c r="P229" s="1"/>
  <c r="I123"/>
  <c r="B123"/>
  <c r="P123" s="1"/>
  <c r="P219" s="1"/>
  <c r="I127"/>
  <c r="B127"/>
  <c r="P127" s="1"/>
  <c r="P223" s="1"/>
  <c r="B130"/>
  <c r="I130"/>
  <c r="P130"/>
  <c r="P226" s="1"/>
  <c r="B134"/>
  <c r="I134"/>
  <c r="P134"/>
  <c r="P230" s="1"/>
  <c r="B138"/>
  <c r="I138"/>
  <c r="P138"/>
  <c r="P234" s="1"/>
  <c r="B149"/>
  <c r="B142"/>
  <c r="P142" s="1"/>
  <c r="P238" s="1"/>
  <c r="I142"/>
  <c r="B146"/>
  <c r="P146" s="1"/>
  <c r="P242" s="1"/>
  <c r="I146"/>
  <c r="B141"/>
  <c r="I141"/>
  <c r="P141"/>
  <c r="P237" s="1"/>
  <c r="B145"/>
  <c r="I145"/>
  <c r="P145"/>
  <c r="P241" s="1"/>
  <c r="B140"/>
  <c r="P140" s="1"/>
  <c r="P236" s="1"/>
  <c r="I140"/>
  <c r="B148"/>
  <c r="P148" s="1"/>
  <c r="P244" s="1"/>
  <c r="I148"/>
  <c r="B144"/>
  <c r="P144" s="1"/>
  <c r="P240" s="1"/>
  <c r="I144"/>
  <c r="B147"/>
  <c r="P147" s="1"/>
  <c r="P243" s="1"/>
  <c r="I147"/>
  <c r="B143"/>
  <c r="I143"/>
  <c r="P143"/>
  <c r="P239" s="1"/>
  <c r="B139"/>
  <c r="I139"/>
  <c r="B158" l="1"/>
  <c r="P149"/>
  <c r="P245" s="1"/>
  <c r="P259" s="1"/>
  <c r="P225"/>
  <c r="P257" s="1"/>
  <c r="P139"/>
  <c r="P235" s="1"/>
  <c r="P258" s="1"/>
  <c r="I166" l="1"/>
  <c r="B171"/>
  <c r="B191" l="1"/>
  <c r="Q234" s="1"/>
  <c r="B187"/>
  <c r="Q230" s="1"/>
  <c r="B183"/>
  <c r="Q226" s="1"/>
  <c r="B179"/>
  <c r="Q222" s="1"/>
  <c r="B175"/>
  <c r="Q218" s="1"/>
  <c r="B190"/>
  <c r="Q233" s="1"/>
  <c r="B184"/>
  <c r="Q227" s="1"/>
  <c r="B176"/>
  <c r="Q219" s="1"/>
  <c r="B192"/>
  <c r="Q235" s="1"/>
  <c r="Q258" s="1"/>
  <c r="B174"/>
  <c r="Q217" s="1"/>
  <c r="B172"/>
  <c r="Q215" s="1"/>
  <c r="Q256" s="1"/>
  <c r="B200"/>
  <c r="Q243" s="1"/>
  <c r="B197"/>
  <c r="Q240" s="1"/>
  <c r="B194"/>
  <c r="Q237" s="1"/>
  <c r="B195"/>
  <c r="Q238" s="1"/>
  <c r="B189"/>
  <c r="Q232" s="1"/>
  <c r="B185"/>
  <c r="Q228" s="1"/>
  <c r="B181"/>
  <c r="Q224" s="1"/>
  <c r="B177"/>
  <c r="Q220" s="1"/>
  <c r="B173"/>
  <c r="Q216" s="1"/>
  <c r="B186"/>
  <c r="Q229" s="1"/>
  <c r="B180"/>
  <c r="Q223" s="1"/>
  <c r="B182"/>
  <c r="Q225" s="1"/>
  <c r="Q257" s="1"/>
  <c r="B188"/>
  <c r="Q231" s="1"/>
  <c r="B178"/>
  <c r="Q221" s="1"/>
  <c r="Q214"/>
  <c r="Q255" s="1"/>
  <c r="B196"/>
  <c r="Q239" s="1"/>
  <c r="B193"/>
  <c r="Q236" s="1"/>
  <c r="B201"/>
  <c r="Q244" s="1"/>
  <c r="B198"/>
  <c r="Q241" s="1"/>
  <c r="B199"/>
  <c r="Q242" s="1"/>
  <c r="B202"/>
  <c r="Q245" s="1"/>
  <c r="Q259" s="1"/>
</calcChain>
</file>

<file path=xl/sharedStrings.xml><?xml version="1.0" encoding="utf-8"?>
<sst xmlns="http://schemas.openxmlformats.org/spreadsheetml/2006/main" count="552" uniqueCount="272">
  <si>
    <t>t=[°C]</t>
  </si>
  <si>
    <t>i=[%]</t>
  </si>
  <si>
    <t>sp=[m]</t>
  </si>
  <si>
    <t>FORMULE</t>
  </si>
  <si>
    <t>Resistenza termica convezione</t>
  </si>
  <si>
    <t>Resistenza termica conduzione</t>
  </si>
  <si>
    <t>CONDUZIONE DEL CALORE</t>
  </si>
  <si>
    <t>IGROMETRIA</t>
  </si>
  <si>
    <t>Legge dei gas</t>
  </si>
  <si>
    <t>umidità relativa</t>
  </si>
  <si>
    <t>Pressione di saturazione</t>
  </si>
  <si>
    <t>Temperatura di saturazione</t>
  </si>
  <si>
    <t>per t&gt;=0°C</t>
  </si>
  <si>
    <t>per t&lt;0°C</t>
  </si>
  <si>
    <t>Umidità assoluta o grado igrometrico</t>
  </si>
  <si>
    <t>Legame tra umidità assoluta [x] e umidità relativa [i]</t>
  </si>
  <si>
    <t>[K/W] oppure [°C/W]</t>
  </si>
  <si>
    <t>Mentre la resistenza specifica riferita all'area unitaria di superficie piana è</t>
  </si>
  <si>
    <t xml:space="preserve"> [°C/W]</t>
  </si>
  <si>
    <t>per unità di superficie è</t>
  </si>
  <si>
    <t>Flusso termico per unità d'area</t>
  </si>
  <si>
    <t>Temperature intermedie all'interfaccia dei vari strati</t>
  </si>
  <si>
    <r>
      <t>t</t>
    </r>
    <r>
      <rPr>
        <vertAlign val="subscript"/>
        <sz val="12"/>
        <color theme="1"/>
        <rFont val="ISOCPEUR"/>
        <family val="2"/>
      </rPr>
      <t>j</t>
    </r>
    <r>
      <rPr>
        <sz val="12"/>
        <color theme="1"/>
        <rFont val="ISOCPEUR"/>
        <family val="2"/>
      </rPr>
      <t>=t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-R'</t>
    </r>
    <r>
      <rPr>
        <vertAlign val="subscript"/>
        <sz val="12"/>
        <color theme="1"/>
        <rFont val="ISOCPEUR"/>
        <family val="2"/>
      </rPr>
      <t>j</t>
    </r>
    <r>
      <rPr>
        <sz val="12"/>
        <color theme="1"/>
        <rFont val="GreekC"/>
      </rPr>
      <t>f</t>
    </r>
    <r>
      <rPr>
        <sz val="12"/>
        <color theme="1"/>
        <rFont val="ISOCPEUR"/>
        <family val="2"/>
      </rPr>
      <t>'</t>
    </r>
  </si>
  <si>
    <r>
      <t>t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</si>
  <si>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=</t>
    </r>
  </si>
  <si>
    <r>
      <t>i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=</t>
    </r>
  </si>
  <si>
    <r>
      <t>i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=</t>
    </r>
  </si>
  <si>
    <r>
      <t>sp</t>
    </r>
    <r>
      <rPr>
        <vertAlign val="subscript"/>
        <sz val="12"/>
        <color theme="1"/>
        <rFont val="ISOCPEUR"/>
        <family val="2"/>
      </rPr>
      <t>1</t>
    </r>
    <r>
      <rPr>
        <sz val="12"/>
        <color theme="1"/>
        <rFont val="ISOCPEUR"/>
        <family val="2"/>
      </rPr>
      <t>=</t>
    </r>
  </si>
  <si>
    <r>
      <t>sp</t>
    </r>
    <r>
      <rPr>
        <vertAlign val="sub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=</t>
    </r>
  </si>
  <si>
    <r>
      <t>sp</t>
    </r>
    <r>
      <rPr>
        <vertAlign val="subscript"/>
        <sz val="12"/>
        <color theme="1"/>
        <rFont val="ISOCPEUR"/>
        <family val="2"/>
      </rPr>
      <t>3</t>
    </r>
    <r>
      <rPr>
        <sz val="12"/>
        <color theme="1"/>
        <rFont val="ISOCPEUR"/>
        <family val="2"/>
      </rPr>
      <t>=</t>
    </r>
  </si>
  <si>
    <r>
      <t>h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</si>
  <si>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l</t>
    </r>
    <r>
      <rPr>
        <vertAlign val="subscript"/>
        <sz val="12"/>
        <color theme="1"/>
        <rFont val="ISOCPEUR"/>
        <family val="2"/>
      </rPr>
      <t>1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</si>
  <si>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l</t>
    </r>
    <r>
      <rPr>
        <vertAlign val="sub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</si>
  <si>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l</t>
    </r>
    <r>
      <rPr>
        <vertAlign val="subscript"/>
        <sz val="12"/>
        <color theme="1"/>
        <rFont val="ISOCPEUR"/>
        <family val="2"/>
      </rPr>
      <t>3</t>
    </r>
    <r>
      <rPr>
        <sz val="12"/>
        <color theme="1"/>
        <rFont val="ISOCPEUR"/>
        <family val="2"/>
      </rPr>
      <t>=</t>
    </r>
  </si>
  <si>
    <r>
      <t>h=[W/m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°C]</t>
    </r>
  </si>
  <si>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>=[W/m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 xml:space="preserve">°C] oppure </t>
    </r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>=[W/m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°K]</t>
    </r>
  </si>
  <si>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1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</si>
  <si>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</si>
  <si>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3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</si>
  <si>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d</t>
    </r>
    <r>
      <rPr>
        <sz val="12"/>
        <color theme="1"/>
        <rFont val="ISOCPEUR"/>
        <family val="2"/>
      </rPr>
      <t>=[kg/(m*s*Pa)]</t>
    </r>
  </si>
  <si>
    <r>
      <t xml:space="preserve">Resistenza piana di spessore d e superficie A con conduttività </t>
    </r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 xml:space="preserve"> di una parete alla conduzione di calore</t>
    </r>
  </si>
  <si>
    <r>
      <t>R=[d/(</t>
    </r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>A)]</t>
    </r>
  </si>
  <si>
    <r>
      <t>R'=[d/(</t>
    </r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>)]</t>
    </r>
  </si>
  <si>
    <r>
      <t>[K*m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/W] oppure [°C*m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/W]</t>
    </r>
  </si>
  <si>
    <r>
      <t>R</t>
    </r>
    <r>
      <rPr>
        <vertAlign val="subscript"/>
        <sz val="12"/>
        <color theme="1"/>
        <rFont val="ISOCPEUR"/>
        <family val="2"/>
      </rPr>
      <t>conv.</t>
    </r>
    <r>
      <rPr>
        <sz val="12"/>
        <color theme="1"/>
        <rFont val="ISOCPEUR"/>
        <family val="2"/>
      </rPr>
      <t>=[1/(hA)]</t>
    </r>
  </si>
  <si>
    <r>
      <t>R</t>
    </r>
    <r>
      <rPr>
        <vertAlign val="subscript"/>
        <sz val="12"/>
        <color theme="1"/>
        <rFont val="ISOCPEUR"/>
        <family val="2"/>
      </rPr>
      <t>conv.</t>
    </r>
    <r>
      <rPr>
        <sz val="12"/>
        <color theme="1"/>
        <rFont val="ISOCPEUR"/>
        <family val="2"/>
      </rPr>
      <t>=[1/(h)]</t>
    </r>
  </si>
  <si>
    <r>
      <t xml:space="preserve"> [m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*°C/W]</t>
    </r>
  </si>
  <si>
    <r>
      <t xml:space="preserve"> 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*°C]</t>
    </r>
  </si>
  <si>
    <r>
      <rPr>
        <sz val="12"/>
        <color theme="1"/>
        <rFont val="GreekC"/>
      </rPr>
      <t>f</t>
    </r>
    <r>
      <rPr>
        <sz val="12"/>
        <color theme="1"/>
        <rFont val="ISOCPEUR"/>
        <family val="2"/>
      </rPr>
      <t>'=U(t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-t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)</t>
    </r>
  </si>
  <si>
    <r>
      <t xml:space="preserve"> 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]</t>
    </r>
  </si>
  <si>
    <r>
      <t>p</t>
    </r>
    <r>
      <rPr>
        <vertAlign val="subscript"/>
        <sz val="12"/>
        <color theme="1"/>
        <rFont val="ISOCPEUR"/>
        <family val="2"/>
      </rPr>
      <t>t</t>
    </r>
    <r>
      <rPr>
        <sz val="12"/>
        <color theme="1"/>
        <rFont val="ISOCPEUR"/>
        <family val="2"/>
      </rPr>
      <t>V=n</t>
    </r>
    <r>
      <rPr>
        <vertAlign val="subscript"/>
        <sz val="12"/>
        <color theme="1"/>
        <rFont val="ISOCPEUR"/>
        <family val="2"/>
      </rPr>
      <t>t</t>
    </r>
    <r>
      <rPr>
        <sz val="12"/>
        <color theme="1"/>
        <rFont val="ISOCPEUR"/>
        <family val="2"/>
      </rPr>
      <t>RT</t>
    </r>
  </si>
  <si>
    <r>
      <t>p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V=n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RT</t>
    </r>
  </si>
  <si>
    <r>
      <t>p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V=n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RT</t>
    </r>
  </si>
  <si>
    <r>
      <t>p</t>
    </r>
    <r>
      <rPr>
        <vertAlign val="subscript"/>
        <sz val="12"/>
        <color theme="1"/>
        <rFont val="ISOCPEUR"/>
        <family val="2"/>
      </rPr>
      <t>t</t>
    </r>
    <r>
      <rPr>
        <sz val="12"/>
        <color theme="1"/>
        <rFont val="ISOCPEUR"/>
        <family val="2"/>
      </rPr>
      <t>=p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+p</t>
    </r>
    <r>
      <rPr>
        <vertAlign val="subscript"/>
        <sz val="12"/>
        <color theme="1"/>
        <rFont val="ISOCPEUR"/>
        <family val="2"/>
      </rPr>
      <t>v</t>
    </r>
  </si>
  <si>
    <r>
      <t>i=</t>
    </r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/</t>
    </r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=p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/p</t>
    </r>
    <r>
      <rPr>
        <vertAlign val="subscript"/>
        <sz val="12"/>
        <color theme="1"/>
        <rFont val="ISOCPEUR"/>
        <family val="2"/>
      </rPr>
      <t>s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</si>
  <si>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=610,5*e</t>
    </r>
    <r>
      <rPr>
        <vertAlign val="superscript"/>
        <sz val="12"/>
        <color theme="1"/>
        <rFont val="ISOCPEUR"/>
        <family val="2"/>
      </rPr>
      <t>((17,269*t)/(237,3+t))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</si>
  <si>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=610,5*e</t>
    </r>
    <r>
      <rPr>
        <vertAlign val="superscript"/>
        <sz val="12"/>
        <color theme="1"/>
        <rFont val="ISOCPEUR"/>
        <family val="2"/>
      </rPr>
      <t>((21,875*t)/(265,5+t))</t>
    </r>
  </si>
  <si>
    <r>
      <t>t=[237,3*log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(p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/610,5)]/[17,269-log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(p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/610,5)</t>
    </r>
  </si>
  <si>
    <r>
      <t>per 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&gt;=610,5Pa</t>
    </r>
  </si>
  <si>
    <r>
      <t>t=[265,5*log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(p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/610,5)]/[21,875-log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(p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/610,5)</t>
    </r>
  </si>
  <si>
    <r>
      <t>per 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&lt;610,5Pa</t>
    </r>
  </si>
  <si>
    <r>
      <t>x=</t>
    </r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/</t>
    </r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a</t>
    </r>
  </si>
  <si>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=densità vapore</t>
    </r>
  </si>
  <si>
    <r>
      <t>[kg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/kg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]</t>
    </r>
  </si>
  <si>
    <r>
      <rPr>
        <sz val="12"/>
        <color theme="1"/>
        <rFont val="GreekC"/>
      </rPr>
      <t>r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=densità aria secca</t>
    </r>
  </si>
  <si>
    <r>
      <t>x=0,622*[(ip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(t))/(p</t>
    </r>
    <r>
      <rPr>
        <vertAlign val="subscript"/>
        <sz val="12"/>
        <color theme="1"/>
        <rFont val="ISOCPEUR"/>
        <family val="2"/>
      </rPr>
      <t>t</t>
    </r>
    <r>
      <rPr>
        <sz val="12"/>
        <color theme="1"/>
        <rFont val="ISOCPEUR"/>
        <family val="2"/>
      </rPr>
      <t>-ip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(t))</t>
    </r>
  </si>
  <si>
    <r>
      <t>p</t>
    </r>
    <r>
      <rPr>
        <vertAlign val="subscript"/>
        <sz val="12"/>
        <color theme="1"/>
        <rFont val="ISOCPEUR"/>
        <family val="2"/>
      </rPr>
      <t>t</t>
    </r>
    <r>
      <rPr>
        <sz val="12"/>
        <color theme="1"/>
        <rFont val="ISOCPEUR"/>
        <family val="2"/>
      </rPr>
      <t>=somma pressioni parziali=p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+p</t>
    </r>
    <r>
      <rPr>
        <vertAlign val="subscript"/>
        <sz val="12"/>
        <color theme="1"/>
        <rFont val="ISOCPEUR"/>
        <family val="2"/>
      </rPr>
      <t>v</t>
    </r>
  </si>
  <si>
    <r>
      <t>R'</t>
    </r>
    <r>
      <rPr>
        <vertAlign val="subscript"/>
        <sz val="12"/>
        <color theme="1"/>
        <rFont val="ISOCPEUR"/>
        <family val="2"/>
      </rPr>
      <t xml:space="preserve">j </t>
    </r>
    <r>
      <rPr>
        <sz val="12"/>
        <color theme="1"/>
        <rFont val="ISOCPEUR"/>
        <family val="2"/>
      </rPr>
      <t>è la resistenza termica a partire dall'interno fino all'interfaccia j</t>
    </r>
  </si>
  <si>
    <t>DIAGRAMMA DI GLASER PER MURI A STRATI</t>
  </si>
  <si>
    <r>
      <t>U=(1/h</t>
    </r>
    <r>
      <rPr>
        <vertAlign val="subscript"/>
        <sz val="12"/>
        <color theme="1"/>
        <rFont val="ISOCPEUR"/>
        <family val="2"/>
      </rPr>
      <t>i</t>
    </r>
    <r>
      <rPr>
        <sz val="12"/>
        <color theme="1"/>
        <rFont val="ISOCPEUR"/>
        <family val="2"/>
      </rPr>
      <t>+</t>
    </r>
    <r>
      <rPr>
        <sz val="12"/>
        <color theme="1"/>
        <rFont val="GreekC"/>
      </rPr>
      <t>S</t>
    </r>
    <r>
      <rPr>
        <vertAlign val="subscript"/>
        <sz val="12"/>
        <color theme="1"/>
        <rFont val="Cambria"/>
        <family val="1"/>
      </rPr>
      <t>i=0</t>
    </r>
    <r>
      <rPr>
        <vertAlign val="superscript"/>
        <sz val="12"/>
        <color theme="1"/>
        <rFont val="Cambria"/>
        <family val="1"/>
      </rPr>
      <t>n</t>
    </r>
    <r>
      <rPr>
        <sz val="12"/>
        <color theme="1"/>
        <rFont val="ISOCPEUR"/>
        <family val="2"/>
      </rPr>
      <t>d</t>
    </r>
    <r>
      <rPr>
        <vertAlign val="subscript"/>
        <sz val="12"/>
        <color theme="1"/>
        <rFont val="Cambria"/>
        <family val="1"/>
      </rPr>
      <t>i</t>
    </r>
    <r>
      <rPr>
        <sz val="12"/>
        <color theme="1"/>
        <rFont val="Cambria"/>
        <family val="1"/>
      </rPr>
      <t>/</t>
    </r>
    <r>
      <rPr>
        <sz val="12"/>
        <color theme="1"/>
        <rFont val="GreekC"/>
      </rPr>
      <t>l</t>
    </r>
    <r>
      <rPr>
        <vertAlign val="subscript"/>
        <sz val="12"/>
        <color theme="1"/>
        <rFont val="Cambria"/>
        <family val="1"/>
      </rPr>
      <t>i</t>
    </r>
    <r>
      <rPr>
        <sz val="12"/>
        <color theme="1"/>
        <rFont val="ISOCPEUR"/>
        <family val="2"/>
      </rPr>
      <t>+1/h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)</t>
    </r>
    <r>
      <rPr>
        <vertAlign val="superscript"/>
        <sz val="12"/>
        <color theme="1"/>
        <rFont val="ISOCPEUR"/>
        <family val="2"/>
      </rPr>
      <t>-1</t>
    </r>
  </si>
  <si>
    <t>Trasmittanza termica o coefficiente globale di scambio termico</t>
  </si>
  <si>
    <t>U=</t>
  </si>
  <si>
    <r>
      <t>h</t>
    </r>
    <r>
      <rPr>
        <vertAlign val="subscript"/>
        <sz val="12"/>
        <color theme="1"/>
        <rFont val="ISOCPEUR"/>
        <family val="2"/>
      </rPr>
      <t>e</t>
    </r>
    <r>
      <rPr>
        <sz val="12"/>
        <color theme="1"/>
        <rFont val="ISOCPEUR"/>
        <family val="2"/>
      </rPr>
      <t>=</t>
    </r>
  </si>
  <si>
    <r>
      <rPr>
        <sz val="12"/>
        <color theme="1"/>
        <rFont val="GreekC"/>
      </rPr>
      <t>f</t>
    </r>
    <r>
      <rPr>
        <sz val="12"/>
        <color theme="1"/>
        <rFont val="ISOCPEUR"/>
        <family val="2"/>
      </rPr>
      <t>'=</t>
    </r>
  </si>
  <si>
    <r>
      <t>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]</t>
    </r>
  </si>
  <si>
    <r>
      <t>[W/m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°C]</t>
    </r>
  </si>
  <si>
    <r>
      <t>[</t>
    </r>
    <r>
      <rPr>
        <sz val="12"/>
        <color theme="1"/>
        <rFont val="ISOCPEUR"/>
        <family val="2"/>
      </rPr>
      <t>°C]</t>
    </r>
  </si>
  <si>
    <r>
      <t>t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</si>
  <si>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a-b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</si>
  <si>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b-c</t>
    </r>
    <r>
      <rPr>
        <sz val="12"/>
        <color theme="1"/>
        <rFont val="ISOCPEUR"/>
        <family val="2"/>
      </rPr>
      <t>=</t>
    </r>
  </si>
  <si>
    <t>Portata vapore (Legge di Fick)</t>
  </si>
  <si>
    <r>
      <t>g'</t>
    </r>
    <r>
      <rPr>
        <vertAlign val="subscript"/>
        <sz val="12"/>
        <color theme="1"/>
        <rFont val="ISOCPEUR"/>
        <family val="2"/>
      </rPr>
      <t>v</t>
    </r>
    <r>
      <rPr>
        <sz val="12"/>
        <color theme="1"/>
        <rFont val="ISOCPEUR"/>
        <family val="2"/>
      </rPr>
      <t>=((p</t>
    </r>
    <r>
      <rPr>
        <vertAlign val="subscript"/>
        <sz val="12"/>
        <color theme="1"/>
        <rFont val="ISOCPEUR"/>
        <family val="2"/>
      </rPr>
      <t>vi</t>
    </r>
    <r>
      <rPr>
        <sz val="12"/>
        <color theme="1"/>
        <rFont val="ISOCPEUR"/>
        <family val="2"/>
      </rPr>
      <t>-p</t>
    </r>
    <r>
      <rPr>
        <vertAlign val="subscript"/>
        <sz val="12"/>
        <color theme="1"/>
        <rFont val="ISOCPEUR"/>
        <family val="2"/>
      </rPr>
      <t>ve</t>
    </r>
    <r>
      <rPr>
        <sz val="12"/>
        <color theme="1"/>
        <rFont val="ISOCPEUR"/>
        <family val="2"/>
      </rPr>
      <t>)/z'</t>
    </r>
    <r>
      <rPr>
        <vertAlign val="subscript"/>
        <sz val="12"/>
        <color theme="1"/>
        <rFont val="ISOCPEUR"/>
        <family val="2"/>
      </rPr>
      <t>vt</t>
    </r>
    <r>
      <rPr>
        <sz val="12"/>
        <color theme="1"/>
        <rFont val="ISOCPEUR"/>
        <family val="2"/>
      </rPr>
      <t>))</t>
    </r>
  </si>
  <si>
    <r>
      <t>z'</t>
    </r>
    <r>
      <rPr>
        <vertAlign val="subscript"/>
        <sz val="12"/>
        <color theme="1"/>
        <rFont val="ISOCPEUR"/>
        <family val="2"/>
      </rPr>
      <t>vt</t>
    </r>
    <r>
      <rPr>
        <sz val="12"/>
        <color theme="1"/>
        <rFont val="ISOCPEUR"/>
        <family val="2"/>
      </rPr>
      <t>=</t>
    </r>
  </si>
  <si>
    <r>
      <t>[(m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*s*Pa)/kg]</t>
    </r>
  </si>
  <si>
    <r>
      <rPr>
        <sz val="12"/>
        <color theme="1"/>
        <rFont val="GreekC"/>
      </rPr>
      <t>d</t>
    </r>
    <r>
      <rPr>
        <sz val="12"/>
        <color theme="1"/>
        <rFont val="ISOCPEUR"/>
        <family val="2"/>
      </rPr>
      <t>=[kg/(m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*s*Pa)]</t>
    </r>
  </si>
  <si>
    <t>Strati in cui si suddivide l'isolante</t>
  </si>
  <si>
    <t>[°C]</t>
  </si>
  <si>
    <r>
      <t>z'</t>
    </r>
    <r>
      <rPr>
        <vertAlign val="subscript"/>
        <sz val="12"/>
        <color theme="1"/>
        <rFont val="ISOCPEUR"/>
        <family val="2"/>
      </rPr>
      <t>vt</t>
    </r>
    <r>
      <rPr>
        <sz val="12"/>
        <color theme="1"/>
        <rFont val="ISOCPEUR"/>
        <family val="2"/>
      </rPr>
      <t>=S</t>
    </r>
    <r>
      <rPr>
        <vertAlign val="subscript"/>
        <sz val="12"/>
        <color theme="1"/>
        <rFont val="ISOCPEUR"/>
        <family val="2"/>
      </rPr>
      <t>i=0</t>
    </r>
    <r>
      <rPr>
        <vertAlign val="superscript"/>
        <sz val="12"/>
        <color theme="1"/>
        <rFont val="ISOCPEUR"/>
        <family val="2"/>
      </rPr>
      <t>n</t>
    </r>
    <r>
      <rPr>
        <sz val="12"/>
        <color theme="1"/>
        <rFont val="ISOCPEUR"/>
        <family val="2"/>
      </rPr>
      <t>z</t>
    </r>
    <r>
      <rPr>
        <vertAlign val="subscript"/>
        <sz val="12"/>
        <color theme="1"/>
        <rFont val="ISOCPEUR"/>
        <family val="2"/>
      </rPr>
      <t>i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</si>
  <si>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)=</t>
    </r>
  </si>
  <si>
    <t>[Pa]</t>
  </si>
  <si>
    <t>Se t&gt;=0</t>
  </si>
  <si>
    <t>pressione del vapore</t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</si>
  <si>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a-b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</si>
  <si>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b-c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</si>
  <si>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ve</t>
    </r>
    <r>
      <rPr>
        <sz val="12"/>
        <color theme="1"/>
        <rFont val="ISOCPEUR"/>
        <family val="2"/>
      </rPr>
      <t>=</t>
    </r>
  </si>
  <si>
    <r>
      <t>p</t>
    </r>
    <r>
      <rPr>
        <vertAlign val="subscript"/>
        <sz val="12"/>
        <color theme="1"/>
        <rFont val="ISOCPEUR"/>
        <family val="2"/>
      </rPr>
      <t>vi</t>
    </r>
    <r>
      <rPr>
        <sz val="12"/>
        <color theme="1"/>
        <rFont val="ISOCPEUR"/>
        <family val="2"/>
      </rPr>
      <t>=</t>
    </r>
  </si>
  <si>
    <r>
      <t>se hai dati precisi riguardo i</t>
    </r>
    <r>
      <rPr>
        <vertAlign val="subscript"/>
        <sz val="11"/>
        <color theme="1"/>
        <rFont val="ISOCPEUR"/>
        <family val="2"/>
      </rPr>
      <t>i</t>
    </r>
  </si>
  <si>
    <r>
      <t>se non hai dati precisi riguardo i</t>
    </r>
    <r>
      <rPr>
        <vertAlign val="subscript"/>
        <sz val="11"/>
        <color theme="1"/>
        <rFont val="ISOCPEUR"/>
        <family val="2"/>
      </rPr>
      <t>i</t>
    </r>
  </si>
  <si>
    <r>
      <t xml:space="preserve">Devi guardare sul grafico di produzione del vapore e in funzione della produzione andare a leggere </t>
    </r>
    <r>
      <rPr>
        <sz val="11"/>
        <color theme="1"/>
        <rFont val="GreekC"/>
      </rPr>
      <t>D</t>
    </r>
    <r>
      <rPr>
        <sz val="11"/>
        <color theme="1"/>
        <rFont val="ISOCPEUR"/>
        <family val="2"/>
      </rPr>
      <t>p e inserirla</t>
    </r>
  </si>
  <si>
    <r>
      <rPr>
        <sz val="11"/>
        <color theme="1"/>
        <rFont val="GreekC"/>
      </rPr>
      <t>D</t>
    </r>
    <r>
      <rPr>
        <sz val="11"/>
        <color theme="1"/>
        <rFont val="ISOCPEUR"/>
        <family val="2"/>
      </rPr>
      <t>p</t>
    </r>
  </si>
  <si>
    <t>categorie veloci</t>
  </si>
  <si>
    <t>Prod.vapore</t>
  </si>
  <si>
    <t>Molto bassa-bassa</t>
  </si>
  <si>
    <t>Bassa-media</t>
  </si>
  <si>
    <t>Media-alta</t>
  </si>
  <si>
    <t>Alta-molto alta</t>
  </si>
  <si>
    <t xml:space="preserve">Prod. vapore </t>
  </si>
  <si>
    <r>
      <t>g'</t>
    </r>
    <r>
      <rPr>
        <vertAlign val="subscript"/>
        <sz val="11"/>
        <color theme="1"/>
        <rFont val="ISOCPEUR"/>
        <family val="2"/>
      </rPr>
      <t>v</t>
    </r>
    <r>
      <rPr>
        <sz val="11"/>
        <color theme="1"/>
        <rFont val="ISOCPEUR"/>
        <family val="2"/>
      </rPr>
      <t>=</t>
    </r>
  </si>
  <si>
    <r>
      <t>[kg/(m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*s)]</t>
    </r>
  </si>
  <si>
    <t>UNITA' DI MISURA</t>
  </si>
  <si>
    <t>Portata di vapore che attraversa la parete</t>
  </si>
  <si>
    <t>Resistenza alla diffusione del vapore</t>
  </si>
  <si>
    <t>Pressioni del vapore intermedie</t>
  </si>
  <si>
    <r>
      <t>p</t>
    </r>
    <r>
      <rPr>
        <vertAlign val="subscript"/>
        <sz val="11"/>
        <color theme="1"/>
        <rFont val="ISOCPEUR"/>
        <family val="2"/>
      </rPr>
      <t>va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</si>
  <si>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va-b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</si>
  <si>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vb-c</t>
    </r>
    <r>
      <rPr>
        <sz val="11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</si>
  <si>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ext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</si>
  <si>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int</t>
    </r>
    <r>
      <rPr>
        <sz val="12"/>
        <color theme="1"/>
        <rFont val="ISOCPEUR"/>
        <family val="2"/>
      </rPr>
      <t>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</si>
  <si>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ext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</si>
  <si>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int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</si>
  <si>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1"/>
        <color theme="1"/>
        <rFont val="ISOCPEUR"/>
        <family val="2"/>
      </rPr>
      <t>vint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</si>
  <si>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vext</t>
    </r>
    <r>
      <rPr>
        <sz val="11"/>
        <color theme="1"/>
        <rFont val="ISOCPEUR"/>
        <family val="2"/>
      </rPr>
      <t>=</t>
    </r>
  </si>
  <si>
    <t>p</t>
  </si>
  <si>
    <t>intervalli grafico</t>
  </si>
  <si>
    <r>
      <t>z'</t>
    </r>
    <r>
      <rPr>
        <vertAlign val="subscript"/>
        <sz val="11"/>
        <color theme="1"/>
        <rFont val="ISOCPEUR"/>
        <family val="2"/>
      </rPr>
      <t>v</t>
    </r>
  </si>
  <si>
    <r>
      <t>p</t>
    </r>
    <r>
      <rPr>
        <vertAlign val="subscript"/>
        <sz val="11"/>
        <color theme="1"/>
        <rFont val="ISOCPEUR"/>
        <family val="2"/>
      </rPr>
      <t>s</t>
    </r>
  </si>
  <si>
    <r>
      <t>p</t>
    </r>
    <r>
      <rPr>
        <vertAlign val="subscript"/>
        <sz val="11"/>
        <color theme="1"/>
        <rFont val="ISOCPEUR"/>
        <family val="2"/>
      </rPr>
      <t>v</t>
    </r>
  </si>
  <si>
    <r>
      <t xml:space="preserve">Spesso è indicato </t>
    </r>
    <r>
      <rPr>
        <sz val="12"/>
        <color theme="1"/>
        <rFont val="GreekC"/>
      </rPr>
      <t>m</t>
    </r>
    <r>
      <rPr>
        <sz val="12"/>
        <color theme="1"/>
        <rFont val="ISOCPEUR"/>
        <family val="2"/>
      </rPr>
      <t>=fattore di resistenza igroscopica=</t>
    </r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/</t>
    </r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 xml:space="preserve">(materiale) </t>
    </r>
    <r>
      <rPr>
        <sz val="12"/>
        <color theme="1"/>
        <rFont val="ISOCPEUR"/>
        <family val="2"/>
      </rPr>
      <t>dal momento che z'</t>
    </r>
    <r>
      <rPr>
        <vertAlign val="subscript"/>
        <sz val="12"/>
        <color theme="1"/>
        <rFont val="ISOCPEUR"/>
        <family val="2"/>
      </rPr>
      <t xml:space="preserve">vt </t>
    </r>
    <r>
      <rPr>
        <sz val="12"/>
        <color theme="1"/>
        <rFont val="ISOCPEUR"/>
        <family val="2"/>
      </rPr>
      <t>ha valori grandi si usa in ascissa lo spessore equivalente di strato d'aria ricavato così:</t>
    </r>
  </si>
  <si>
    <r>
      <t>s</t>
    </r>
    <r>
      <rPr>
        <vertAlign val="subscript"/>
        <sz val="12"/>
        <color theme="1"/>
        <rFont val="ISOCPEUR"/>
        <family val="2"/>
      </rPr>
      <t>d</t>
    </r>
    <r>
      <rPr>
        <sz val="12"/>
        <color theme="1"/>
        <rFont val="ISOCPEUR"/>
        <family val="2"/>
      </rPr>
      <t>=</t>
    </r>
    <r>
      <rPr>
        <sz val="12"/>
        <color theme="1"/>
        <rFont val="GreekC"/>
      </rPr>
      <t>m</t>
    </r>
    <r>
      <rPr>
        <sz val="12"/>
        <color theme="1"/>
        <rFont val="ISOCPEUR"/>
        <family val="2"/>
      </rPr>
      <t>d=(</t>
    </r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/</t>
    </r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(materiale)</t>
    </r>
    <r>
      <rPr>
        <sz val="12"/>
        <color theme="1"/>
        <rFont val="ISOCPEUR"/>
        <family val="2"/>
      </rPr>
      <t>)d=</t>
    </r>
    <r>
      <rPr>
        <sz val="12"/>
        <color theme="1"/>
        <rFont val="GreekC"/>
      </rPr>
      <t>d</t>
    </r>
    <r>
      <rPr>
        <vertAlign val="subscript"/>
        <sz val="12"/>
        <color theme="1"/>
        <rFont val="ISOCPEUR"/>
        <family val="2"/>
      </rPr>
      <t>a</t>
    </r>
    <r>
      <rPr>
        <sz val="12"/>
        <color theme="1"/>
        <rFont val="ISOCPEUR"/>
        <family val="2"/>
      </rPr>
      <t>z'</t>
    </r>
    <r>
      <rPr>
        <vertAlign val="subscript"/>
        <sz val="12"/>
        <color theme="1"/>
        <rFont val="ISOCPEUR"/>
        <family val="2"/>
      </rPr>
      <t>vt</t>
    </r>
  </si>
  <si>
    <t>NOTA SU INDICAZIONE</t>
  </si>
  <si>
    <t>Se t&lt;0</t>
  </si>
  <si>
    <t>secondo la valutazione della funzione logica</t>
  </si>
  <si>
    <r>
      <rPr>
        <sz val="12"/>
        <color theme="1"/>
        <rFont val="GreekC"/>
      </rPr>
      <t>m</t>
    </r>
    <r>
      <rPr>
        <vertAlign val="subscript"/>
        <sz val="12"/>
        <color theme="1"/>
        <rFont val="ISOCPEUR"/>
        <family val="2"/>
      </rPr>
      <t>necessario</t>
    </r>
    <r>
      <rPr>
        <sz val="12"/>
        <color theme="1"/>
        <rFont val="ISOCPEUR"/>
        <family val="2"/>
      </rPr>
      <t>=</t>
    </r>
  </si>
  <si>
    <t>SE SI VERIFICA CONDENSA BISOGNA VERIFICARNE L'ENTITA' E CONFRONTARLA CON L'EVAPORAZIONE ESTIVA</t>
  </si>
  <si>
    <t>NOTA IMPORTANTE</t>
  </si>
  <si>
    <r>
      <t>se un muro ha sp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=4[cm] e</t>
    </r>
    <r>
      <rPr>
        <sz val="12"/>
        <color theme="1"/>
        <rFont val="GreekC"/>
      </rPr>
      <t xml:space="preserve"> 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=0,02[W/m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°C] ho R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=2[Km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/W] quindi per avere R=0,25[Km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/W] devo suddividere quello strato almeno in 8 parti, ciò significa avere:</t>
    </r>
  </si>
  <si>
    <r>
      <t>t</t>
    </r>
    <r>
      <rPr>
        <vertAlign val="subscript"/>
        <sz val="12"/>
        <color theme="1"/>
        <rFont val="Calibri"/>
        <family val="2"/>
        <scheme val="minor"/>
      </rPr>
      <t>c/4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+(2/8)d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</si>
  <si>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c(3/8)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+(3/8)d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</si>
  <si>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c/2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+(4/8)d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</si>
  <si>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c(5/8)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+(5/8)d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</si>
  <si>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c(3/4)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+(6/8)d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</si>
  <si>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c(7/8)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+(7/8)d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</si>
  <si>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c-d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+(8/8)d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</si>
  <si>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=t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-(1/h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+d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</si>
  <si>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ISOCPEUR"/>
        <family val="2"/>
      </rPr>
      <t>c/10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</si>
  <si>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c(9/10)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</si>
  <si>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c(2/10)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</si>
  <si>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c(3/10)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</si>
  <si>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c(4/10)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</si>
  <si>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c(5/10)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</si>
  <si>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c(6/10)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</si>
  <si>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c(7/10)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</si>
  <si>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c(8/10)</t>
    </r>
    <r>
      <rPr>
        <sz val="12"/>
        <color theme="1"/>
        <rFont val="ISOCPEUR"/>
        <family val="2"/>
      </rPr>
      <t>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</si>
  <si>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c/10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</si>
  <si>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c(9/10)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</si>
  <si>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c(8/10)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</si>
  <si>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c(2/10)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</si>
  <si>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c(3/10)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</si>
  <si>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c(4/10)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</si>
  <si>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c(5/10)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</si>
  <si>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c(6/10)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</si>
  <si>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c(7/10)</t>
    </r>
    <r>
      <rPr>
        <sz val="12"/>
        <color theme="1"/>
        <rFont val="ISOCPEUR"/>
        <family val="2"/>
      </rPr>
      <t>)=</t>
    </r>
  </si>
  <si>
    <t>NOTA: se vuoi degli strati devi eliminare i valori superiori a 1 inserendo nella casella valori incrementali il numero di divisioni uguale al dividendo</t>
  </si>
  <si>
    <r>
      <t>p</t>
    </r>
    <r>
      <rPr>
        <vertAlign val="subscript"/>
        <sz val="11"/>
        <color theme="1"/>
        <rFont val="ISOCPEUR"/>
        <family val="2"/>
      </rPr>
      <t>vc/10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</si>
  <si>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vc(2/10)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</si>
  <si>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vc(3/10)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</si>
  <si>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vc(4/10)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</si>
  <si>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vc(5/10)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</si>
  <si>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vc(6/10)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</si>
  <si>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vc(7/10)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</si>
  <si>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vc(8/10)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</si>
  <si>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vc(9/10)</t>
    </r>
    <r>
      <rPr>
        <sz val="11"/>
        <color theme="1"/>
        <rFont val="ISOCPEUR"/>
        <family val="2"/>
      </rPr>
      <t>=</t>
    </r>
  </si>
  <si>
    <t>a</t>
  </si>
  <si>
    <t>a-b</t>
  </si>
  <si>
    <t>b-c</t>
  </si>
  <si>
    <t>c/10</t>
  </si>
  <si>
    <t>c(2/10)</t>
  </si>
  <si>
    <t>c(3/10)</t>
  </si>
  <si>
    <t>c(4/10)</t>
  </si>
  <si>
    <t>c(5/10)</t>
  </si>
  <si>
    <t>c(6/10)</t>
  </si>
  <si>
    <t>c(7/10)</t>
  </si>
  <si>
    <t>c(8/10)</t>
  </si>
  <si>
    <t>c(9/10)</t>
  </si>
  <si>
    <t>int</t>
  </si>
  <si>
    <t>ext</t>
  </si>
  <si>
    <t>num.strato</t>
  </si>
  <si>
    <t>num strati isolante</t>
  </si>
  <si>
    <t>c(10/10)</t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</si>
  <si>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a/10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</si>
  <si>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a(2/10)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</si>
  <si>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a(3/10)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</si>
  <si>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a(4/10)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</si>
  <si>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a(5/10)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</si>
  <si>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a(6/10)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</si>
  <si>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a(7/10)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</si>
  <si>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a(8/10)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</si>
  <si>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a(9/10)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</si>
  <si>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b/10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</si>
  <si>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b(2/10)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</si>
  <si>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b(3/10)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</si>
  <si>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b(4/10)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</si>
  <si>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b(5/10)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</si>
  <si>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b(6/10)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</si>
  <si>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b(7/10)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</si>
  <si>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b(8/10)</t>
    </r>
    <r>
      <rPr>
        <sz val="12"/>
        <color theme="1"/>
        <rFont val="ISOCPEUR"/>
        <family val="2"/>
      </rPr>
      <t>)=</t>
    </r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</si>
  <si>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b(9/10)</t>
    </r>
    <r>
      <rPr>
        <sz val="12"/>
        <color theme="1"/>
        <rFont val="ISOCPEUR"/>
        <family val="2"/>
      </rPr>
      <t>)=</t>
    </r>
  </si>
  <si>
    <r>
      <t>t</t>
    </r>
    <r>
      <rPr>
        <vertAlign val="subscript"/>
        <sz val="12"/>
        <color theme="1"/>
        <rFont val="ISOCPEUR"/>
        <family val="2"/>
      </rPr>
      <t>a/10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</si>
  <si>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a(2/10)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</si>
  <si>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b(3/10)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</si>
  <si>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a(3/10)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</si>
  <si>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a(4/10)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</si>
  <si>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a(5/10)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</si>
  <si>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a(6/10)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</si>
  <si>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a(7/10)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</si>
  <si>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a(8/10)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</si>
  <si>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a(9/10)</t>
    </r>
    <r>
      <rPr>
        <sz val="12"/>
        <color theme="1"/>
        <rFont val="ISOCPEUR"/>
        <family val="2"/>
      </rPr>
      <t>=</t>
    </r>
  </si>
  <si>
    <t>TEMPERATURE FRA I VARI STRATI</t>
  </si>
  <si>
    <r>
      <t>Se R</t>
    </r>
    <r>
      <rPr>
        <vertAlign val="subscript"/>
        <sz val="12"/>
        <color theme="1"/>
        <rFont val="ISOCPEUR"/>
        <family val="2"/>
      </rPr>
      <t>isolante</t>
    </r>
    <r>
      <rPr>
        <sz val="12"/>
        <color theme="1"/>
        <rFont val="ISOCPEUR"/>
        <family val="2"/>
      </rPr>
      <t>&gt;0,25[Km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/W] (sp/</t>
    </r>
    <r>
      <rPr>
        <sz val="12"/>
        <color theme="1"/>
        <rFont val="GreekC"/>
      </rPr>
      <t>l</t>
    </r>
    <r>
      <rPr>
        <sz val="12"/>
        <color theme="1"/>
        <rFont val="ISOCPEUR"/>
        <family val="2"/>
      </rPr>
      <t>) lo strato va diviso in un numero di strati almeno sufficiente ad avere R=0,25</t>
    </r>
  </si>
  <si>
    <r>
      <t>t</t>
    </r>
    <r>
      <rPr>
        <vertAlign val="subscript"/>
        <sz val="12"/>
        <color theme="1"/>
        <rFont val="ISOCPEUR"/>
        <family val="2"/>
      </rPr>
      <t>b/10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</si>
  <si>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b(2/10)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</si>
  <si>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b(4/10)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</si>
  <si>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b(5/10)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</si>
  <si>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b(6/10)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</si>
  <si>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b(7/10)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</si>
  <si>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b(8/10)</t>
    </r>
    <r>
      <rPr>
        <sz val="12"/>
        <color theme="1"/>
        <rFont val="ISOCPEUR"/>
        <family val="2"/>
      </rPr>
      <t>=</t>
    </r>
  </si>
  <si>
    <r>
      <t>t</t>
    </r>
    <r>
      <rPr>
        <vertAlign val="subscript"/>
        <sz val="12"/>
        <color theme="1"/>
        <rFont val="ISOCPEUR"/>
        <family val="2"/>
      </rPr>
      <t>b(9/10)</t>
    </r>
    <r>
      <rPr>
        <sz val="12"/>
        <color theme="1"/>
        <rFont val="ISOCPEUR"/>
        <family val="2"/>
      </rPr>
      <t>=</t>
    </r>
  </si>
  <si>
    <t>Prodot. Divisione</t>
  </si>
  <si>
    <r>
      <t>p</t>
    </r>
    <r>
      <rPr>
        <vertAlign val="subscript"/>
        <sz val="11"/>
        <color theme="1"/>
        <rFont val="ISOCPEUR"/>
        <family val="2"/>
      </rPr>
      <t>va/10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</si>
  <si>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va(2/10)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</si>
  <si>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va(3/10)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</si>
  <si>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va(4/10)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</si>
  <si>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va(5/10)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</si>
  <si>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va(6/10)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</si>
  <si>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va(7/10)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</si>
  <si>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va(8/10)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</si>
  <si>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va(9/10)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</si>
  <si>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vb/10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</si>
  <si>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vb(2/10)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</si>
  <si>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vb(3/10)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</si>
  <si>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vb(4/10)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</si>
  <si>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vb(5/10)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</si>
  <si>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vb(6/10)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</si>
  <si>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vb(7/10)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</si>
  <si>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vb(8/10)</t>
    </r>
    <r>
      <rPr>
        <sz val="11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</si>
  <si>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vb(9/10)</t>
    </r>
    <r>
      <rPr>
        <sz val="11"/>
        <color theme="1"/>
        <rFont val="ISOCPEUR"/>
        <family val="2"/>
      </rPr>
      <t>=</t>
    </r>
  </si>
  <si>
    <t xml:space="preserve">ISOLAMENTO </t>
  </si>
  <si>
    <t>DIGITARE GLI SPESSORI DEL MURO, LA LORO CONDUTTIVITA' TERMICA, E LA LORO PERMEABILITA' AL VAPORE</t>
  </si>
  <si>
    <t>a/10</t>
  </si>
  <si>
    <t>a(2/10)</t>
  </si>
  <si>
    <t>a(3/10)</t>
  </si>
  <si>
    <t>a(4/10)</t>
  </si>
  <si>
    <t>a(5/10)</t>
  </si>
  <si>
    <t>a(6/10)</t>
  </si>
  <si>
    <t>a(7/10)</t>
  </si>
  <si>
    <t>a(8/10)</t>
  </si>
  <si>
    <t>a(9/10)</t>
  </si>
  <si>
    <t>b/10</t>
  </si>
  <si>
    <t>b(2/10)</t>
  </si>
  <si>
    <t>b(3/10)</t>
  </si>
  <si>
    <t>b(4/10)</t>
  </si>
  <si>
    <t>b(5/10)</t>
  </si>
  <si>
    <t>b(6/10)</t>
  </si>
  <si>
    <t>b(7/10)</t>
  </si>
  <si>
    <t>b(8/10)</t>
  </si>
  <si>
    <t>b(9/10)</t>
  </si>
  <si>
    <r>
      <t>diffusività al vapore dell'aria: 193x10-12 [kg/m</t>
    </r>
    <r>
      <rPr>
        <vertAlign val="superscript"/>
        <sz val="12"/>
        <color theme="1"/>
        <rFont val="ISOCPEUR"/>
        <family val="2"/>
      </rPr>
      <t>2</t>
    </r>
    <r>
      <rPr>
        <sz val="12"/>
        <color theme="1"/>
        <rFont val="ISOCPEUR"/>
        <family val="2"/>
      </rPr>
      <t>sPa] (NB:alcuni a favore di sicurezza scrivono  200x10-12 )</t>
    </r>
  </si>
  <si>
    <t>MURI A 3 STRATI</t>
  </si>
  <si>
    <r>
      <t>p</t>
    </r>
    <r>
      <rPr>
        <vertAlign val="subscript"/>
        <sz val="12"/>
        <color theme="1"/>
        <rFont val="ISOCPEUR"/>
        <family val="2"/>
      </rPr>
      <t>s</t>
    </r>
    <r>
      <rPr>
        <sz val="12"/>
        <color theme="1"/>
        <rFont val="ISOCPEUR"/>
        <family val="2"/>
      </rPr>
      <t>(t</t>
    </r>
    <r>
      <rPr>
        <vertAlign val="subscript"/>
        <sz val="12"/>
        <color theme="1"/>
        <rFont val="ISOCPEUR"/>
        <family val="2"/>
      </rPr>
      <t>c</t>
    </r>
    <r>
      <rPr>
        <sz val="12"/>
        <color theme="1"/>
        <rFont val="ISOCPEUR"/>
        <family val="2"/>
      </rPr>
      <t>)=</t>
    </r>
  </si>
  <si>
    <r>
      <t>t</t>
    </r>
    <r>
      <rPr>
        <vertAlign val="subscript"/>
        <sz val="12"/>
        <color theme="1"/>
        <rFont val="ISOCPEUR"/>
        <family val="2"/>
      </rPr>
      <t>c</t>
    </r>
    <r>
      <rPr>
        <sz val="12"/>
        <color theme="1"/>
        <rFont val="ISOCPEUR"/>
        <family val="2"/>
      </rPr>
      <t>=</t>
    </r>
  </si>
  <si>
    <r>
      <t>p</t>
    </r>
    <r>
      <rPr>
        <vertAlign val="subscript"/>
        <sz val="11"/>
        <color theme="1"/>
        <rFont val="ISOCPEUR"/>
        <family val="2"/>
      </rPr>
      <t>vc</t>
    </r>
    <r>
      <rPr>
        <sz val="11"/>
        <color theme="1"/>
        <rFont val="ISOCPEUR"/>
        <family val="2"/>
      </rPr>
      <t>=</t>
    </r>
  </si>
  <si>
    <t>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</si>
</sst>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E+00"/>
  </numFmts>
  <fonts count="17">
    <font>
      <sz val="11"/>
      <color theme="1"/>
      <name val="Calibri"/>
      <family val="2"/>
      <scheme val="minor"/>
    </font>
    <font>
      <sz val="11"/>
      <color theme="1"/>
      <name val="ISOCPEUR"/>
      <family val="2"/>
    </font>
    <font>
      <sz val="12"/>
      <color theme="1"/>
      <name val="ISOCPEUR"/>
      <family val="2"/>
    </font>
    <font>
      <vertAlign val="subscript"/>
      <sz val="12"/>
      <color theme="1"/>
      <name val="ISOCPEUR"/>
      <family val="2"/>
    </font>
    <font>
      <sz val="12"/>
      <color theme="1"/>
      <name val="GreekC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ISOCPEUR"/>
      <family val="2"/>
    </font>
    <font>
      <vertAlign val="subscript"/>
      <sz val="12"/>
      <color theme="1"/>
      <name val="Cambria"/>
      <family val="1"/>
    </font>
    <font>
      <vertAlign val="superscript"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0"/>
      <name val="ISOCPEUR"/>
      <family val="2"/>
    </font>
    <font>
      <vertAlign val="subscript"/>
      <sz val="11"/>
      <color theme="1"/>
      <name val="ISOCPEUR"/>
      <family val="2"/>
    </font>
    <font>
      <sz val="11"/>
      <color theme="1"/>
      <name val="GreekC"/>
    </font>
    <font>
      <sz val="11"/>
      <color theme="0"/>
      <name val="ISOCPEUR"/>
      <family val="2"/>
    </font>
    <font>
      <sz val="12"/>
      <color theme="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AFAA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1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9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1" fillId="13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2" fillId="1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15" borderId="1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16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horizontal="center" vertical="center" wrapText="1"/>
    </xf>
    <xf numFmtId="164" fontId="2" fillId="15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AFAAC"/>
      <color rgb="FFFFAFAF"/>
      <color rgb="FFFF7979"/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Foglio1!$A$116</c:f>
              <c:strCache>
                <c:ptCount val="1"/>
                <c:pt idx="0">
                  <c:v>Pressione di saturazione</c:v>
                </c:pt>
              </c:strCache>
            </c:strRef>
          </c:tx>
          <c:cat>
            <c:numRef>
              <c:f>Foglio1!$S$209:$S$244</c:f>
              <c:numCache>
                <c:formatCode>0.00E+00</c:formatCode>
                <c:ptCount val="36"/>
                <c:pt idx="0">
                  <c:v>0</c:v>
                </c:pt>
                <c:pt idx="1">
                  <c:v>250000000</c:v>
                </c:pt>
                <c:pt idx="2">
                  <c:v>500000000</c:v>
                </c:pt>
                <c:pt idx="3">
                  <c:v>1000000000</c:v>
                </c:pt>
                <c:pt idx="4">
                  <c:v>1250000000</c:v>
                </c:pt>
                <c:pt idx="5">
                  <c:v>1500000000</c:v>
                </c:pt>
                <c:pt idx="6">
                  <c:v>1750000000</c:v>
                </c:pt>
                <c:pt idx="7">
                  <c:v>2000000000</c:v>
                </c:pt>
                <c:pt idx="8">
                  <c:v>2250000000</c:v>
                </c:pt>
                <c:pt idx="9">
                  <c:v>2500000000</c:v>
                </c:pt>
                <c:pt idx="10">
                  <c:v>2750000000</c:v>
                </c:pt>
                <c:pt idx="11">
                  <c:v>3000000000</c:v>
                </c:pt>
                <c:pt idx="12">
                  <c:v>3250000000</c:v>
                </c:pt>
                <c:pt idx="13">
                  <c:v>3500000000</c:v>
                </c:pt>
                <c:pt idx="14">
                  <c:v>3750000000</c:v>
                </c:pt>
                <c:pt idx="15">
                  <c:v>4000000000</c:v>
                </c:pt>
                <c:pt idx="16">
                  <c:v>4250000000</c:v>
                </c:pt>
                <c:pt idx="17">
                  <c:v>4500000000</c:v>
                </c:pt>
                <c:pt idx="18">
                  <c:v>4750000000</c:v>
                </c:pt>
                <c:pt idx="19">
                  <c:v>5000000000</c:v>
                </c:pt>
                <c:pt idx="20">
                  <c:v>5250000000</c:v>
                </c:pt>
                <c:pt idx="21">
                  <c:v>5500000000</c:v>
                </c:pt>
                <c:pt idx="22">
                  <c:v>5750000000</c:v>
                </c:pt>
                <c:pt idx="23">
                  <c:v>6000000000</c:v>
                </c:pt>
                <c:pt idx="24">
                  <c:v>6250000000</c:v>
                </c:pt>
                <c:pt idx="25">
                  <c:v>6500000000</c:v>
                </c:pt>
                <c:pt idx="26">
                  <c:v>6750000000</c:v>
                </c:pt>
                <c:pt idx="27">
                  <c:v>7000000000</c:v>
                </c:pt>
                <c:pt idx="28">
                  <c:v>7250000000</c:v>
                </c:pt>
                <c:pt idx="29">
                  <c:v>7500000000</c:v>
                </c:pt>
                <c:pt idx="30">
                  <c:v>7750000000</c:v>
                </c:pt>
                <c:pt idx="31">
                  <c:v>8000000000</c:v>
                </c:pt>
                <c:pt idx="32">
                  <c:v>8250000000</c:v>
                </c:pt>
                <c:pt idx="33">
                  <c:v>8500000000</c:v>
                </c:pt>
                <c:pt idx="34">
                  <c:v>8750000000</c:v>
                </c:pt>
                <c:pt idx="35">
                  <c:v>9000000000</c:v>
                </c:pt>
              </c:numCache>
            </c:numRef>
          </c:cat>
          <c:val>
            <c:numRef>
              <c:f>Foglio1!$P$214:$P$246</c:f>
              <c:numCache>
                <c:formatCode>0.000</c:formatCode>
                <c:ptCount val="33"/>
                <c:pt idx="0">
                  <c:v>2336.9511438023419</c:v>
                </c:pt>
                <c:pt idx="1">
                  <c:v>1939.5314676279763</c:v>
                </c:pt>
                <c:pt idx="2">
                  <c:v>1931.1869745258102</c:v>
                </c:pt>
                <c:pt idx="3">
                  <c:v>1922.8739440371871</c:v>
                </c:pt>
                <c:pt idx="4">
                  <c:v>1914.5922754693888</c:v>
                </c:pt>
                <c:pt idx="5">
                  <c:v>1906.3418683886564</c:v>
                </c:pt>
                <c:pt idx="6">
                  <c:v>1898.1226226197127</c:v>
                </c:pt>
                <c:pt idx="7">
                  <c:v>1889.9344382452891</c:v>
                </c:pt>
                <c:pt idx="8">
                  <c:v>1881.7772156056442</c:v>
                </c:pt>
                <c:pt idx="9">
                  <c:v>1873.6508552980954</c:v>
                </c:pt>
                <c:pt idx="10">
                  <c:v>1865.5552581765403</c:v>
                </c:pt>
                <c:pt idx="11">
                  <c:v>1857.4903253509824</c:v>
                </c:pt>
                <c:pt idx="12">
                  <c:v>1817.6221823811297</c:v>
                </c:pt>
                <c:pt idx="13">
                  <c:v>1778.5059597453824</c:v>
                </c:pt>
                <c:pt idx="14">
                  <c:v>1740.1295814794021</c:v>
                </c:pt>
                <c:pt idx="15">
                  <c:v>1702.4811281503598</c:v>
                </c:pt>
                <c:pt idx="16">
                  <c:v>1629.3210924617058</c:v>
                </c:pt>
                <c:pt idx="17">
                  <c:v>1629.3210924617058</c:v>
                </c:pt>
                <c:pt idx="18">
                  <c:v>1593.7864407656955</c:v>
                </c:pt>
                <c:pt idx="19">
                  <c:v>1558.9335724422579</c:v>
                </c:pt>
                <c:pt idx="20">
                  <c:v>1524.7513289131857</c:v>
                </c:pt>
                <c:pt idx="21">
                  <c:v>1491.228699457389</c:v>
                </c:pt>
                <c:pt idx="22">
                  <c:v>1378.9384088225697</c:v>
                </c:pt>
                <c:pt idx="23">
                  <c:v>1274.1449828761019</c:v>
                </c:pt>
                <c:pt idx="24">
                  <c:v>1176.4174647241093</c:v>
                </c:pt>
                <c:pt idx="25">
                  <c:v>1085.3452039842432</c:v>
                </c:pt>
                <c:pt idx="26">
                  <c:v>1000.5371475954216</c:v>
                </c:pt>
                <c:pt idx="27">
                  <c:v>921.6211439202915</c:v>
                </c:pt>
                <c:pt idx="28">
                  <c:v>848.24326032760007</c:v>
                </c:pt>
                <c:pt idx="29">
                  <c:v>780.06711442601238</c:v>
                </c:pt>
                <c:pt idx="30">
                  <c:v>716.77321910507158</c:v>
                </c:pt>
                <c:pt idx="31">
                  <c:v>658.05834152303328</c:v>
                </c:pt>
                <c:pt idx="32">
                  <c:v>610.5</c:v>
                </c:pt>
              </c:numCache>
            </c:numRef>
          </c:val>
        </c:ser>
        <c:ser>
          <c:idx val="1"/>
          <c:order val="1"/>
          <c:tx>
            <c:strRef>
              <c:f>Foglio1!$A$169</c:f>
              <c:strCache>
                <c:ptCount val="1"/>
                <c:pt idx="0">
                  <c:v>Pressioni del vapore intermedie</c:v>
                </c:pt>
              </c:strCache>
            </c:strRef>
          </c:tx>
          <c:cat>
            <c:numRef>
              <c:f>Foglio1!$S$209:$S$244</c:f>
              <c:numCache>
                <c:formatCode>0.00E+00</c:formatCode>
                <c:ptCount val="36"/>
                <c:pt idx="0">
                  <c:v>0</c:v>
                </c:pt>
                <c:pt idx="1">
                  <c:v>250000000</c:v>
                </c:pt>
                <c:pt idx="2">
                  <c:v>500000000</c:v>
                </c:pt>
                <c:pt idx="3">
                  <c:v>1000000000</c:v>
                </c:pt>
                <c:pt idx="4">
                  <c:v>1250000000</c:v>
                </c:pt>
                <c:pt idx="5">
                  <c:v>1500000000</c:v>
                </c:pt>
                <c:pt idx="6">
                  <c:v>1750000000</c:v>
                </c:pt>
                <c:pt idx="7">
                  <c:v>2000000000</c:v>
                </c:pt>
                <c:pt idx="8">
                  <c:v>2250000000</c:v>
                </c:pt>
                <c:pt idx="9">
                  <c:v>2500000000</c:v>
                </c:pt>
                <c:pt idx="10">
                  <c:v>2750000000</c:v>
                </c:pt>
                <c:pt idx="11">
                  <c:v>3000000000</c:v>
                </c:pt>
                <c:pt idx="12">
                  <c:v>3250000000</c:v>
                </c:pt>
                <c:pt idx="13">
                  <c:v>3500000000</c:v>
                </c:pt>
                <c:pt idx="14">
                  <c:v>3750000000</c:v>
                </c:pt>
                <c:pt idx="15">
                  <c:v>4000000000</c:v>
                </c:pt>
                <c:pt idx="16">
                  <c:v>4250000000</c:v>
                </c:pt>
                <c:pt idx="17">
                  <c:v>4500000000</c:v>
                </c:pt>
                <c:pt idx="18">
                  <c:v>4750000000</c:v>
                </c:pt>
                <c:pt idx="19">
                  <c:v>5000000000</c:v>
                </c:pt>
                <c:pt idx="20">
                  <c:v>5250000000</c:v>
                </c:pt>
                <c:pt idx="21">
                  <c:v>5500000000</c:v>
                </c:pt>
                <c:pt idx="22">
                  <c:v>5750000000</c:v>
                </c:pt>
                <c:pt idx="23">
                  <c:v>6000000000</c:v>
                </c:pt>
                <c:pt idx="24">
                  <c:v>6250000000</c:v>
                </c:pt>
                <c:pt idx="25">
                  <c:v>6500000000</c:v>
                </c:pt>
                <c:pt idx="26">
                  <c:v>6750000000</c:v>
                </c:pt>
                <c:pt idx="27">
                  <c:v>7000000000</c:v>
                </c:pt>
                <c:pt idx="28">
                  <c:v>7250000000</c:v>
                </c:pt>
                <c:pt idx="29">
                  <c:v>7500000000</c:v>
                </c:pt>
                <c:pt idx="30">
                  <c:v>7750000000</c:v>
                </c:pt>
                <c:pt idx="31">
                  <c:v>8000000000</c:v>
                </c:pt>
                <c:pt idx="32">
                  <c:v>8250000000</c:v>
                </c:pt>
                <c:pt idx="33">
                  <c:v>8500000000</c:v>
                </c:pt>
                <c:pt idx="34">
                  <c:v>8750000000</c:v>
                </c:pt>
                <c:pt idx="35">
                  <c:v>9000000000</c:v>
                </c:pt>
              </c:numCache>
            </c:numRef>
          </c:cat>
          <c:val>
            <c:numRef>
              <c:f>Foglio1!$Q$214:$Q$246</c:f>
              <c:numCache>
                <c:formatCode>0.000</c:formatCode>
                <c:ptCount val="33"/>
                <c:pt idx="0">
                  <c:v>1298.4000000000001</c:v>
                </c:pt>
                <c:pt idx="1">
                  <c:v>1298.4000000000001</c:v>
                </c:pt>
                <c:pt idx="2">
                  <c:v>1232.6799188640975</c:v>
                </c:pt>
                <c:pt idx="3">
                  <c:v>1166.9598377281948</c:v>
                </c:pt>
                <c:pt idx="4">
                  <c:v>1101.2397565922922</c:v>
                </c:pt>
                <c:pt idx="5">
                  <c:v>1035.5196754563895</c:v>
                </c:pt>
                <c:pt idx="6">
                  <c:v>969.7995943204869</c:v>
                </c:pt>
                <c:pt idx="7">
                  <c:v>904.07951318458413</c:v>
                </c:pt>
                <c:pt idx="8">
                  <c:v>838.35943204868158</c:v>
                </c:pt>
                <c:pt idx="9">
                  <c:v>772.63935091277892</c:v>
                </c:pt>
                <c:pt idx="10">
                  <c:v>706.91926977687626</c:v>
                </c:pt>
                <c:pt idx="11">
                  <c:v>641.1991886409736</c:v>
                </c:pt>
                <c:pt idx="12">
                  <c:v>633.8056795131846</c:v>
                </c:pt>
                <c:pt idx="13">
                  <c:v>626.4121703853956</c:v>
                </c:pt>
                <c:pt idx="14">
                  <c:v>619.01866125760648</c:v>
                </c:pt>
                <c:pt idx="15">
                  <c:v>611.62515212981748</c:v>
                </c:pt>
                <c:pt idx="16">
                  <c:v>604.23164300202836</c:v>
                </c:pt>
                <c:pt idx="17">
                  <c:v>596.83813387423936</c:v>
                </c:pt>
                <c:pt idx="18">
                  <c:v>589.44462474645036</c:v>
                </c:pt>
                <c:pt idx="19">
                  <c:v>582.05111561866124</c:v>
                </c:pt>
                <c:pt idx="20">
                  <c:v>574.65760649087224</c:v>
                </c:pt>
                <c:pt idx="21">
                  <c:v>567.26409736308312</c:v>
                </c:pt>
                <c:pt idx="22">
                  <c:v>559.3776876267749</c:v>
                </c:pt>
                <c:pt idx="23">
                  <c:v>551.49127789046645</c:v>
                </c:pt>
                <c:pt idx="24">
                  <c:v>543.60486815415823</c:v>
                </c:pt>
                <c:pt idx="25">
                  <c:v>535.71845841785</c:v>
                </c:pt>
                <c:pt idx="26">
                  <c:v>527.83204868154155</c:v>
                </c:pt>
                <c:pt idx="27">
                  <c:v>519.94563894523321</c:v>
                </c:pt>
                <c:pt idx="28">
                  <c:v>512.05922920892499</c:v>
                </c:pt>
                <c:pt idx="29">
                  <c:v>504.17281947261654</c:v>
                </c:pt>
                <c:pt idx="30">
                  <c:v>496.28640973630831</c:v>
                </c:pt>
                <c:pt idx="31">
                  <c:v>488.40000000000009</c:v>
                </c:pt>
                <c:pt idx="32">
                  <c:v>488.40000000000003</c:v>
                </c:pt>
              </c:numCache>
            </c:numRef>
          </c:val>
        </c:ser>
        <c:marker val="1"/>
        <c:axId val="62558592"/>
        <c:axId val="62560128"/>
      </c:lineChart>
      <c:catAx>
        <c:axId val="62558592"/>
        <c:scaling>
          <c:orientation val="minMax"/>
        </c:scaling>
        <c:axPos val="b"/>
        <c:numFmt formatCode="0.00E+00" sourceLinked="1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it-IT"/>
          </a:p>
        </c:txPr>
        <c:crossAx val="62560128"/>
        <c:crosses val="autoZero"/>
        <c:auto val="1"/>
        <c:lblAlgn val="ctr"/>
        <c:lblOffset val="100"/>
      </c:catAx>
      <c:valAx>
        <c:axId val="62560128"/>
        <c:scaling>
          <c:orientation val="minMax"/>
        </c:scaling>
        <c:axPos val="l"/>
        <c:majorGridlines/>
        <c:numFmt formatCode="0.000" sourceLinked="1"/>
        <c:tickLblPos val="nextTo"/>
        <c:crossAx val="6255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Foglio1!$A$116</c:f>
              <c:strCache>
                <c:ptCount val="1"/>
                <c:pt idx="0">
                  <c:v>Pressione di saturazione</c:v>
                </c:pt>
              </c:strCache>
            </c:strRef>
          </c:tx>
          <c:cat>
            <c:numRef>
              <c:f>Foglio1!$S$209:$S$245</c:f>
              <c:numCache>
                <c:formatCode>0.00E+00</c:formatCode>
                <c:ptCount val="37"/>
                <c:pt idx="0">
                  <c:v>0</c:v>
                </c:pt>
                <c:pt idx="1">
                  <c:v>250000000</c:v>
                </c:pt>
                <c:pt idx="2">
                  <c:v>500000000</c:v>
                </c:pt>
                <c:pt idx="3">
                  <c:v>1000000000</c:v>
                </c:pt>
                <c:pt idx="4">
                  <c:v>1250000000</c:v>
                </c:pt>
                <c:pt idx="5">
                  <c:v>1500000000</c:v>
                </c:pt>
                <c:pt idx="6">
                  <c:v>1750000000</c:v>
                </c:pt>
                <c:pt idx="7">
                  <c:v>2000000000</c:v>
                </c:pt>
                <c:pt idx="8">
                  <c:v>2250000000</c:v>
                </c:pt>
                <c:pt idx="9">
                  <c:v>2500000000</c:v>
                </c:pt>
                <c:pt idx="10">
                  <c:v>2750000000</c:v>
                </c:pt>
                <c:pt idx="11">
                  <c:v>3000000000</c:v>
                </c:pt>
                <c:pt idx="12">
                  <c:v>3250000000</c:v>
                </c:pt>
                <c:pt idx="13">
                  <c:v>3500000000</c:v>
                </c:pt>
                <c:pt idx="14">
                  <c:v>3750000000</c:v>
                </c:pt>
                <c:pt idx="15">
                  <c:v>4000000000</c:v>
                </c:pt>
                <c:pt idx="16">
                  <c:v>4250000000</c:v>
                </c:pt>
                <c:pt idx="17">
                  <c:v>4500000000</c:v>
                </c:pt>
                <c:pt idx="18">
                  <c:v>4750000000</c:v>
                </c:pt>
                <c:pt idx="19">
                  <c:v>5000000000</c:v>
                </c:pt>
                <c:pt idx="20">
                  <c:v>5250000000</c:v>
                </c:pt>
                <c:pt idx="21">
                  <c:v>5500000000</c:v>
                </c:pt>
                <c:pt idx="22">
                  <c:v>5750000000</c:v>
                </c:pt>
                <c:pt idx="23">
                  <c:v>6000000000</c:v>
                </c:pt>
                <c:pt idx="24">
                  <c:v>6250000000</c:v>
                </c:pt>
                <c:pt idx="25">
                  <c:v>6500000000</c:v>
                </c:pt>
                <c:pt idx="26">
                  <c:v>6750000000</c:v>
                </c:pt>
                <c:pt idx="27">
                  <c:v>7000000000</c:v>
                </c:pt>
                <c:pt idx="28">
                  <c:v>7250000000</c:v>
                </c:pt>
                <c:pt idx="29">
                  <c:v>7500000000</c:v>
                </c:pt>
                <c:pt idx="30">
                  <c:v>7750000000</c:v>
                </c:pt>
                <c:pt idx="31">
                  <c:v>8000000000</c:v>
                </c:pt>
                <c:pt idx="32">
                  <c:v>8250000000</c:v>
                </c:pt>
                <c:pt idx="33">
                  <c:v>8500000000</c:v>
                </c:pt>
                <c:pt idx="34">
                  <c:v>8750000000</c:v>
                </c:pt>
                <c:pt idx="35">
                  <c:v>9000000000</c:v>
                </c:pt>
              </c:numCache>
            </c:numRef>
          </c:cat>
          <c:val>
            <c:numRef>
              <c:f>Foglio1!$P$255:$P$260</c:f>
              <c:numCache>
                <c:formatCode>0.000</c:formatCode>
                <c:ptCount val="6"/>
                <c:pt idx="0">
                  <c:v>2336.9511438023419</c:v>
                </c:pt>
                <c:pt idx="1">
                  <c:v>1939.5314676279763</c:v>
                </c:pt>
                <c:pt idx="2">
                  <c:v>1857.4903253509824</c:v>
                </c:pt>
                <c:pt idx="3">
                  <c:v>1491.228699457389</c:v>
                </c:pt>
                <c:pt idx="4">
                  <c:v>658.05834152303328</c:v>
                </c:pt>
                <c:pt idx="5">
                  <c:v>610.5</c:v>
                </c:pt>
              </c:numCache>
            </c:numRef>
          </c:val>
        </c:ser>
        <c:ser>
          <c:idx val="1"/>
          <c:order val="1"/>
          <c:tx>
            <c:strRef>
              <c:f>Foglio1!$A$169</c:f>
              <c:strCache>
                <c:ptCount val="1"/>
                <c:pt idx="0">
                  <c:v>Pressioni del vapore intermedie</c:v>
                </c:pt>
              </c:strCache>
            </c:strRef>
          </c:tx>
          <c:cat>
            <c:numRef>
              <c:f>Foglio1!$S$209:$S$245</c:f>
              <c:numCache>
                <c:formatCode>0.00E+00</c:formatCode>
                <c:ptCount val="37"/>
                <c:pt idx="0">
                  <c:v>0</c:v>
                </c:pt>
                <c:pt idx="1">
                  <c:v>250000000</c:v>
                </c:pt>
                <c:pt idx="2">
                  <c:v>500000000</c:v>
                </c:pt>
                <c:pt idx="3">
                  <c:v>1000000000</c:v>
                </c:pt>
                <c:pt idx="4">
                  <c:v>1250000000</c:v>
                </c:pt>
                <c:pt idx="5">
                  <c:v>1500000000</c:v>
                </c:pt>
                <c:pt idx="6">
                  <c:v>1750000000</c:v>
                </c:pt>
                <c:pt idx="7">
                  <c:v>2000000000</c:v>
                </c:pt>
                <c:pt idx="8">
                  <c:v>2250000000</c:v>
                </c:pt>
                <c:pt idx="9">
                  <c:v>2500000000</c:v>
                </c:pt>
                <c:pt idx="10">
                  <c:v>2750000000</c:v>
                </c:pt>
                <c:pt idx="11">
                  <c:v>3000000000</c:v>
                </c:pt>
                <c:pt idx="12">
                  <c:v>3250000000</c:v>
                </c:pt>
                <c:pt idx="13">
                  <c:v>3500000000</c:v>
                </c:pt>
                <c:pt idx="14">
                  <c:v>3750000000</c:v>
                </c:pt>
                <c:pt idx="15">
                  <c:v>4000000000</c:v>
                </c:pt>
                <c:pt idx="16">
                  <c:v>4250000000</c:v>
                </c:pt>
                <c:pt idx="17">
                  <c:v>4500000000</c:v>
                </c:pt>
                <c:pt idx="18">
                  <c:v>4750000000</c:v>
                </c:pt>
                <c:pt idx="19">
                  <c:v>5000000000</c:v>
                </c:pt>
                <c:pt idx="20">
                  <c:v>5250000000</c:v>
                </c:pt>
                <c:pt idx="21">
                  <c:v>5500000000</c:v>
                </c:pt>
                <c:pt idx="22">
                  <c:v>5750000000</c:v>
                </c:pt>
                <c:pt idx="23">
                  <c:v>6000000000</c:v>
                </c:pt>
                <c:pt idx="24">
                  <c:v>6250000000</c:v>
                </c:pt>
                <c:pt idx="25">
                  <c:v>6500000000</c:v>
                </c:pt>
                <c:pt idx="26">
                  <c:v>6750000000</c:v>
                </c:pt>
                <c:pt idx="27">
                  <c:v>7000000000</c:v>
                </c:pt>
                <c:pt idx="28">
                  <c:v>7250000000</c:v>
                </c:pt>
                <c:pt idx="29">
                  <c:v>7500000000</c:v>
                </c:pt>
                <c:pt idx="30">
                  <c:v>7750000000</c:v>
                </c:pt>
                <c:pt idx="31">
                  <c:v>8000000000</c:v>
                </c:pt>
                <c:pt idx="32">
                  <c:v>8250000000</c:v>
                </c:pt>
                <c:pt idx="33">
                  <c:v>8500000000</c:v>
                </c:pt>
                <c:pt idx="34">
                  <c:v>8750000000</c:v>
                </c:pt>
                <c:pt idx="35">
                  <c:v>9000000000</c:v>
                </c:pt>
              </c:numCache>
            </c:numRef>
          </c:cat>
          <c:val>
            <c:numRef>
              <c:f>Foglio1!$Q$255:$Q$260</c:f>
              <c:numCache>
                <c:formatCode>0.000</c:formatCode>
                <c:ptCount val="6"/>
                <c:pt idx="0">
                  <c:v>1298.4000000000001</c:v>
                </c:pt>
                <c:pt idx="1">
                  <c:v>1298.4000000000001</c:v>
                </c:pt>
                <c:pt idx="2">
                  <c:v>641.1991886409736</c:v>
                </c:pt>
                <c:pt idx="3">
                  <c:v>567.26409736308312</c:v>
                </c:pt>
                <c:pt idx="4">
                  <c:v>488.40000000000009</c:v>
                </c:pt>
                <c:pt idx="5">
                  <c:v>488.40000000000003</c:v>
                </c:pt>
              </c:numCache>
            </c:numRef>
          </c:val>
        </c:ser>
        <c:marker val="1"/>
        <c:axId val="73671424"/>
        <c:axId val="73672960"/>
      </c:lineChart>
      <c:catAx>
        <c:axId val="73671424"/>
        <c:scaling>
          <c:orientation val="minMax"/>
        </c:scaling>
        <c:axPos val="b"/>
        <c:numFmt formatCode="0.00E+00" sourceLinked="1"/>
        <c:tickLblPos val="nextTo"/>
        <c:crossAx val="73672960"/>
        <c:crosses val="autoZero"/>
        <c:auto val="1"/>
        <c:lblAlgn val="ctr"/>
        <c:lblOffset val="100"/>
      </c:catAx>
      <c:valAx>
        <c:axId val="73672960"/>
        <c:scaling>
          <c:orientation val="minMax"/>
        </c:scaling>
        <c:axPos val="l"/>
        <c:majorGridlines/>
        <c:numFmt formatCode="0.000" sourceLinked="1"/>
        <c:tickLblPos val="nextTo"/>
        <c:crossAx val="73671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203</xdr:row>
      <xdr:rowOff>171450</xdr:rowOff>
    </xdr:from>
    <xdr:to>
      <xdr:col>13</xdr:col>
      <xdr:colOff>361950</xdr:colOff>
      <xdr:row>223</xdr:row>
      <xdr:rowOff>57150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253</xdr:row>
      <xdr:rowOff>152400</xdr:rowOff>
    </xdr:from>
    <xdr:to>
      <xdr:col>13</xdr:col>
      <xdr:colOff>523875</xdr:colOff>
      <xdr:row>271</xdr:row>
      <xdr:rowOff>114300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9"/>
  <sheetViews>
    <sheetView tabSelected="1" topLeftCell="A50" workbookViewId="0">
      <selection activeCell="L70" sqref="L70"/>
    </sheetView>
  </sheetViews>
  <sheetFormatPr defaultRowHeight="15"/>
  <cols>
    <col min="1" max="1" width="11.5703125" customWidth="1"/>
    <col min="8" max="8" width="11.140625" customWidth="1"/>
    <col min="15" max="15" width="12.28515625" customWidth="1"/>
    <col min="16" max="17" width="9.28515625" bestFit="1" customWidth="1"/>
    <col min="19" max="19" width="14.7109375" bestFit="1" customWidth="1"/>
  </cols>
  <sheetData>
    <row r="1" spans="1:32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"/>
      <c r="P1" s="1"/>
      <c r="Q1" s="2"/>
      <c r="R1" s="3"/>
      <c r="S1" s="3"/>
      <c r="T1" s="3"/>
      <c r="U1" s="3"/>
      <c r="V1" s="3"/>
      <c r="W1" s="3"/>
      <c r="X1" s="3"/>
      <c r="Y1" s="3"/>
      <c r="Z1" s="3"/>
      <c r="AA1" s="2"/>
      <c r="AB1" s="4"/>
      <c r="AC1" s="5"/>
      <c r="AD1" s="5"/>
      <c r="AE1" s="5"/>
      <c r="AF1" s="5"/>
    </row>
    <row r="2" spans="1:32" ht="16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"/>
      <c r="P2" s="1"/>
      <c r="Q2" s="2"/>
      <c r="R2" s="3"/>
      <c r="S2" s="3"/>
      <c r="T2" s="3"/>
      <c r="U2" s="3"/>
      <c r="V2" s="3"/>
      <c r="W2" s="3"/>
      <c r="X2" s="3"/>
      <c r="Y2" s="3"/>
      <c r="Z2" s="3"/>
      <c r="AA2" s="2"/>
      <c r="AB2" s="4"/>
      <c r="AC2" s="5"/>
      <c r="AD2" s="5"/>
      <c r="AE2" s="5"/>
      <c r="AF2" s="5"/>
    </row>
    <row r="3" spans="1:32" ht="16.5">
      <c r="A3" s="55" t="s">
        <v>109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5"/>
      <c r="AD3" s="5"/>
      <c r="AE3" s="5"/>
      <c r="AF3" s="5"/>
    </row>
    <row r="4" spans="1:32" ht="18">
      <c r="A4" s="25" t="s">
        <v>23</v>
      </c>
      <c r="B4" s="25"/>
      <c r="C4" s="1"/>
      <c r="D4" s="25" t="s">
        <v>24</v>
      </c>
      <c r="E4" s="25"/>
      <c r="F4" s="1"/>
      <c r="G4" s="25" t="s">
        <v>25</v>
      </c>
      <c r="H4" s="25"/>
      <c r="I4" s="1"/>
      <c r="J4" s="25" t="s">
        <v>26</v>
      </c>
      <c r="K4" s="25"/>
      <c r="L4" s="1"/>
      <c r="M4" s="25" t="s">
        <v>0</v>
      </c>
      <c r="N4" s="25" t="s">
        <v>1</v>
      </c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5"/>
      <c r="AD4" s="5"/>
      <c r="AE4" s="5"/>
      <c r="AF4" s="5"/>
    </row>
    <row r="5" spans="1:3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5"/>
      <c r="AD5" s="5"/>
      <c r="AE5" s="5"/>
      <c r="AF5" s="5"/>
    </row>
    <row r="6" spans="1:32" ht="18">
      <c r="A6" s="6" t="s">
        <v>27</v>
      </c>
      <c r="B6" s="6"/>
      <c r="C6" s="1"/>
      <c r="D6" s="6" t="s">
        <v>28</v>
      </c>
      <c r="E6" s="6"/>
      <c r="F6" s="1"/>
      <c r="G6" s="6" t="s">
        <v>29</v>
      </c>
      <c r="H6" s="6"/>
      <c r="I6" s="1"/>
      <c r="J6" s="2"/>
      <c r="K6" s="2"/>
      <c r="L6" s="1"/>
      <c r="M6" s="6" t="s">
        <v>2</v>
      </c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5"/>
      <c r="AD6" s="5"/>
      <c r="AE6" s="5"/>
      <c r="AF6" s="5"/>
    </row>
    <row r="7" spans="1:32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5" t="s">
        <v>129</v>
      </c>
      <c r="S7" s="55"/>
      <c r="T7" s="55"/>
      <c r="U7" s="55"/>
      <c r="V7" s="55"/>
      <c r="W7" s="55"/>
      <c r="X7" s="55"/>
      <c r="Y7" s="1"/>
      <c r="Z7" s="1"/>
      <c r="AA7" s="1"/>
      <c r="AB7" s="7"/>
      <c r="AC7" s="5"/>
      <c r="AD7" s="5"/>
      <c r="AE7" s="5"/>
      <c r="AF7" s="5"/>
    </row>
    <row r="8" spans="1:32" ht="18.75" customHeight="1">
      <c r="A8" s="6" t="s">
        <v>30</v>
      </c>
      <c r="B8" s="6"/>
      <c r="C8" s="1"/>
      <c r="D8" s="6" t="s">
        <v>31</v>
      </c>
      <c r="E8" s="6"/>
      <c r="F8" s="1"/>
      <c r="G8" s="6" t="s">
        <v>32</v>
      </c>
      <c r="H8" s="6"/>
      <c r="I8" s="1"/>
      <c r="J8" s="6" t="s">
        <v>33</v>
      </c>
      <c r="K8" s="6"/>
      <c r="L8" s="1"/>
      <c r="M8" s="92" t="s">
        <v>34</v>
      </c>
      <c r="N8" s="92"/>
      <c r="O8" s="1"/>
      <c r="P8" s="1"/>
      <c r="Q8" s="1"/>
      <c r="R8" s="55" t="s">
        <v>127</v>
      </c>
      <c r="S8" s="55"/>
      <c r="T8" s="55"/>
      <c r="U8" s="55"/>
      <c r="V8" s="55"/>
      <c r="W8" s="55"/>
      <c r="X8" s="55"/>
      <c r="Y8" s="1"/>
      <c r="Z8" s="1"/>
      <c r="AA8" s="1"/>
      <c r="AB8" s="7"/>
      <c r="AC8" s="5"/>
      <c r="AD8" s="5"/>
      <c r="AE8" s="5"/>
      <c r="AF8" s="5"/>
    </row>
    <row r="9" spans="1:3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5" t="s">
        <v>35</v>
      </c>
      <c r="N9" s="55"/>
      <c r="O9" s="1"/>
      <c r="P9" s="1"/>
      <c r="Q9" s="1"/>
      <c r="R9" s="55"/>
      <c r="S9" s="55"/>
      <c r="T9" s="55"/>
      <c r="U9" s="55"/>
      <c r="V9" s="55"/>
      <c r="W9" s="55"/>
      <c r="X9" s="55"/>
      <c r="Y9" s="1"/>
      <c r="Z9" s="1"/>
      <c r="AA9" s="1"/>
      <c r="AB9" s="7"/>
      <c r="AC9" s="5"/>
      <c r="AD9" s="5"/>
      <c r="AE9" s="5"/>
      <c r="AF9" s="5"/>
    </row>
    <row r="10" spans="1:32" ht="26.25" customHeight="1">
      <c r="A10" s="6" t="s">
        <v>72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55"/>
      <c r="N10" s="55"/>
      <c r="O10" s="1"/>
      <c r="P10" s="1"/>
      <c r="Q10" s="1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7"/>
      <c r="AC10" s="5"/>
      <c r="AD10" s="5"/>
      <c r="AE10" s="5"/>
      <c r="AF10" s="5"/>
    </row>
    <row r="11" spans="1:32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5" t="s">
        <v>128</v>
      </c>
      <c r="S11" s="55"/>
      <c r="T11" s="55"/>
      <c r="U11" s="55"/>
      <c r="V11" s="55"/>
      <c r="W11" s="55"/>
      <c r="X11" s="55"/>
      <c r="Y11" s="1"/>
      <c r="Z11" s="1"/>
      <c r="AA11" s="1"/>
      <c r="AB11" s="7"/>
      <c r="AC11" s="5"/>
      <c r="AD11" s="5"/>
      <c r="AE11" s="5"/>
      <c r="AF11" s="5"/>
    </row>
    <row r="12" spans="1:32" ht="18.75">
      <c r="A12" s="6" t="s">
        <v>36</v>
      </c>
      <c r="B12" s="6"/>
      <c r="C12" s="1"/>
      <c r="D12" s="6" t="s">
        <v>37</v>
      </c>
      <c r="E12" s="6"/>
      <c r="F12" s="1"/>
      <c r="G12" s="6" t="s">
        <v>38</v>
      </c>
      <c r="H12" s="6"/>
      <c r="I12" s="1"/>
      <c r="J12" s="1"/>
      <c r="K12" s="1"/>
      <c r="L12" s="1"/>
      <c r="M12" s="55" t="s">
        <v>39</v>
      </c>
      <c r="N12" s="55"/>
      <c r="O12" s="1"/>
      <c r="P12" s="1"/>
      <c r="Q12" s="1"/>
      <c r="R12" s="55"/>
      <c r="S12" s="55"/>
      <c r="T12" s="55"/>
      <c r="U12" s="55"/>
      <c r="V12" s="55"/>
      <c r="W12" s="55"/>
      <c r="X12" s="55"/>
      <c r="Y12" s="1"/>
      <c r="Z12" s="1"/>
      <c r="AA12" s="1"/>
      <c r="AB12" s="7"/>
      <c r="AC12" s="5"/>
      <c r="AD12" s="5"/>
      <c r="AE12" s="5"/>
      <c r="AF12" s="5"/>
    </row>
    <row r="13" spans="1:32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7"/>
      <c r="AC13" s="5"/>
      <c r="AD13" s="5"/>
      <c r="AE13" s="5"/>
      <c r="AF13" s="5"/>
    </row>
    <row r="14" spans="1:32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7"/>
      <c r="AC14" s="5"/>
      <c r="AD14" s="5"/>
      <c r="AE14" s="5"/>
      <c r="AF14" s="5"/>
    </row>
    <row r="15" spans="1:32" ht="16.5">
      <c r="A15" s="55" t="s">
        <v>3</v>
      </c>
      <c r="B15" s="55"/>
      <c r="C15" s="5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7"/>
      <c r="AC15" s="5"/>
      <c r="AD15" s="5"/>
      <c r="AE15" s="5"/>
      <c r="AF15" s="5"/>
    </row>
    <row r="16" spans="1:3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7"/>
      <c r="AC16" s="5"/>
      <c r="AD16" s="5"/>
      <c r="AE16" s="5"/>
      <c r="AF16" s="5"/>
    </row>
    <row r="17" spans="1:32" ht="15" customHeight="1">
      <c r="A17" s="92" t="s">
        <v>6</v>
      </c>
      <c r="B17" s="92"/>
      <c r="C17" s="9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7"/>
      <c r="AC17" s="5"/>
      <c r="AD17" s="5"/>
      <c r="AE17" s="5"/>
      <c r="AF17" s="5"/>
    </row>
    <row r="18" spans="1:32" ht="16.5">
      <c r="A18" s="5"/>
      <c r="B18" s="5"/>
      <c r="C18" s="5"/>
      <c r="D18" s="1"/>
      <c r="E18" s="1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7"/>
      <c r="AC18" s="5"/>
      <c r="AD18" s="5"/>
      <c r="AE18" s="5"/>
      <c r="AF18" s="5"/>
    </row>
    <row r="19" spans="1:32" ht="15" customHeight="1">
      <c r="A19" s="55" t="s">
        <v>4</v>
      </c>
      <c r="B19" s="55"/>
      <c r="C19" s="55"/>
      <c r="D19" s="1"/>
      <c r="E19" s="1"/>
      <c r="F19" s="55" t="s">
        <v>40</v>
      </c>
      <c r="G19" s="55"/>
      <c r="H19" s="55"/>
      <c r="I19" s="55"/>
      <c r="J19" s="55"/>
      <c r="K19" s="55"/>
      <c r="L19" s="1"/>
      <c r="M19" s="55" t="s">
        <v>41</v>
      </c>
      <c r="N19" s="55"/>
      <c r="O19" s="55"/>
      <c r="P19" s="8"/>
      <c r="Q19" s="86" t="s">
        <v>16</v>
      </c>
      <c r="R19" s="87"/>
      <c r="S19" s="88"/>
      <c r="T19" s="1"/>
      <c r="U19" s="55" t="s">
        <v>17</v>
      </c>
      <c r="V19" s="55"/>
      <c r="W19" s="55"/>
      <c r="X19" s="55"/>
      <c r="Y19" s="1"/>
      <c r="Z19" s="55" t="s">
        <v>42</v>
      </c>
      <c r="AA19" s="55"/>
      <c r="AB19" s="55"/>
      <c r="AC19" s="8"/>
      <c r="AD19" s="86" t="s">
        <v>43</v>
      </c>
      <c r="AE19" s="87"/>
      <c r="AF19" s="88"/>
    </row>
    <row r="20" spans="1:32" ht="26.25" customHeight="1">
      <c r="A20" s="55"/>
      <c r="B20" s="55"/>
      <c r="C20" s="55"/>
      <c r="D20" s="1"/>
      <c r="E20" s="1"/>
      <c r="F20" s="55"/>
      <c r="G20" s="55"/>
      <c r="H20" s="55"/>
      <c r="I20" s="55"/>
      <c r="J20" s="55"/>
      <c r="K20" s="55"/>
      <c r="L20" s="1"/>
      <c r="M20" s="55"/>
      <c r="N20" s="55"/>
      <c r="O20" s="55"/>
      <c r="P20" s="8"/>
      <c r="Q20" s="89"/>
      <c r="R20" s="90"/>
      <c r="S20" s="91"/>
      <c r="T20" s="1"/>
      <c r="U20" s="55"/>
      <c r="V20" s="55"/>
      <c r="W20" s="55"/>
      <c r="X20" s="55"/>
      <c r="Y20" s="1"/>
      <c r="Z20" s="55"/>
      <c r="AA20" s="55"/>
      <c r="AB20" s="55"/>
      <c r="AC20" s="8"/>
      <c r="AD20" s="89"/>
      <c r="AE20" s="90"/>
      <c r="AF20" s="91"/>
    </row>
    <row r="21" spans="1:32" ht="16.5">
      <c r="A21" s="1"/>
      <c r="B21" s="1"/>
      <c r="C21" s="1"/>
      <c r="D21" s="1"/>
      <c r="E21" s="1"/>
      <c r="F21" s="3"/>
      <c r="G21" s="3"/>
      <c r="H21" s="3"/>
      <c r="I21" s="3"/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5"/>
      <c r="AD21" s="5"/>
      <c r="AE21" s="5"/>
      <c r="AF21" s="5"/>
    </row>
    <row r="22" spans="1:32" ht="16.5">
      <c r="A22" s="55" t="s">
        <v>5</v>
      </c>
      <c r="B22" s="55"/>
      <c r="C22" s="55"/>
      <c r="D22" s="1"/>
      <c r="E22" s="1"/>
      <c r="F22" s="55" t="s">
        <v>44</v>
      </c>
      <c r="G22" s="55"/>
      <c r="H22" s="55"/>
      <c r="I22" s="2"/>
      <c r="J22" s="86" t="s">
        <v>18</v>
      </c>
      <c r="K22" s="87"/>
      <c r="L22" s="88"/>
      <c r="M22" s="1"/>
      <c r="N22" s="55" t="s">
        <v>19</v>
      </c>
      <c r="O22" s="55"/>
      <c r="P22" s="55"/>
      <c r="Q22" s="1"/>
      <c r="R22" s="55" t="s">
        <v>45</v>
      </c>
      <c r="S22" s="55"/>
      <c r="T22" s="55"/>
      <c r="U22" s="1"/>
      <c r="V22" s="86" t="s">
        <v>46</v>
      </c>
      <c r="W22" s="87"/>
      <c r="X22" s="88"/>
      <c r="Y22" s="1"/>
      <c r="Z22" s="1"/>
      <c r="AA22" s="1"/>
      <c r="AB22" s="7"/>
      <c r="AC22" s="5"/>
      <c r="AD22" s="5"/>
      <c r="AE22" s="5"/>
      <c r="AF22" s="5"/>
    </row>
    <row r="23" spans="1:32" ht="16.5">
      <c r="A23" s="55"/>
      <c r="B23" s="55"/>
      <c r="C23" s="55"/>
      <c r="D23" s="1"/>
      <c r="E23" s="1"/>
      <c r="F23" s="55"/>
      <c r="G23" s="55"/>
      <c r="H23" s="55"/>
      <c r="I23" s="1"/>
      <c r="J23" s="89"/>
      <c r="K23" s="90"/>
      <c r="L23" s="91"/>
      <c r="M23" s="1"/>
      <c r="N23" s="55"/>
      <c r="O23" s="55"/>
      <c r="P23" s="55"/>
      <c r="Q23" s="1"/>
      <c r="R23" s="55"/>
      <c r="S23" s="55"/>
      <c r="T23" s="55"/>
      <c r="U23" s="1"/>
      <c r="V23" s="89"/>
      <c r="W23" s="90"/>
      <c r="X23" s="91"/>
      <c r="Y23" s="1"/>
      <c r="Z23" s="1"/>
      <c r="AA23" s="1"/>
      <c r="AB23" s="7"/>
      <c r="AC23" s="5"/>
      <c r="AD23" s="5"/>
      <c r="AE23" s="5"/>
      <c r="AF23" s="5"/>
    </row>
    <row r="24" spans="1:32" ht="16.5">
      <c r="A24" s="2"/>
      <c r="B24" s="2"/>
      <c r="C24" s="2"/>
      <c r="D24" s="1"/>
      <c r="E24" s="1"/>
      <c r="F24" s="2"/>
      <c r="G24" s="2"/>
      <c r="H24" s="2"/>
      <c r="I24" s="1"/>
      <c r="J24" s="2"/>
      <c r="K24" s="2"/>
      <c r="L24" s="2"/>
      <c r="M24" s="1"/>
      <c r="N24" s="2"/>
      <c r="O24" s="2"/>
      <c r="P24" s="2"/>
      <c r="Q24" s="1"/>
      <c r="R24" s="2"/>
      <c r="S24" s="2"/>
      <c r="T24" s="2"/>
      <c r="U24" s="1"/>
      <c r="V24" s="2"/>
      <c r="W24" s="2"/>
      <c r="X24" s="2"/>
      <c r="Y24" s="1"/>
      <c r="Z24" s="1"/>
      <c r="AA24" s="1"/>
      <c r="AB24" s="7"/>
      <c r="AC24" s="5"/>
      <c r="AD24" s="5"/>
      <c r="AE24" s="5"/>
      <c r="AF24" s="5"/>
    </row>
    <row r="25" spans="1:32" ht="15" customHeight="1">
      <c r="A25" s="55" t="s">
        <v>70</v>
      </c>
      <c r="B25" s="55"/>
      <c r="C25" s="55"/>
      <c r="D25" s="1"/>
      <c r="E25" s="1"/>
      <c r="F25" s="55" t="s">
        <v>69</v>
      </c>
      <c r="G25" s="55"/>
      <c r="H25" s="55"/>
      <c r="I25" s="55"/>
      <c r="J25" s="55"/>
      <c r="K25" s="3"/>
      <c r="L25" s="86" t="s">
        <v>47</v>
      </c>
      <c r="M25" s="87"/>
      <c r="N25" s="88"/>
      <c r="O25" s="3"/>
      <c r="P25" s="2"/>
      <c r="Q25" s="1"/>
      <c r="R25" s="2"/>
      <c r="S25" s="2"/>
      <c r="T25" s="2"/>
      <c r="U25" s="1"/>
      <c r="V25" s="2"/>
      <c r="W25" s="2"/>
      <c r="X25" s="2"/>
      <c r="Y25" s="1"/>
      <c r="Z25" s="1"/>
      <c r="AA25" s="1"/>
      <c r="AB25" s="7"/>
      <c r="AC25" s="5"/>
      <c r="AD25" s="5"/>
      <c r="AE25" s="5"/>
      <c r="AF25" s="5"/>
    </row>
    <row r="26" spans="1:32" ht="41.25" customHeight="1">
      <c r="A26" s="55"/>
      <c r="B26" s="55"/>
      <c r="C26" s="55"/>
      <c r="D26" s="1"/>
      <c r="E26" s="1"/>
      <c r="F26" s="55"/>
      <c r="G26" s="55"/>
      <c r="H26" s="55"/>
      <c r="I26" s="55"/>
      <c r="J26" s="55"/>
      <c r="K26" s="3"/>
      <c r="L26" s="89"/>
      <c r="M26" s="90"/>
      <c r="N26" s="91"/>
      <c r="O26" s="3"/>
      <c r="P26" s="2"/>
      <c r="Q26" s="1"/>
      <c r="R26" s="2"/>
      <c r="S26" s="2"/>
      <c r="T26" s="2"/>
      <c r="U26" s="1"/>
      <c r="V26" s="2"/>
      <c r="W26" s="2"/>
      <c r="X26" s="2"/>
      <c r="Y26" s="1"/>
      <c r="Z26" s="1"/>
      <c r="AA26" s="1"/>
      <c r="AB26" s="7"/>
      <c r="AC26" s="5"/>
      <c r="AD26" s="5"/>
      <c r="AE26" s="5"/>
      <c r="AF26" s="5"/>
    </row>
    <row r="27" spans="1:32" ht="16.5">
      <c r="A27" s="2"/>
      <c r="B27" s="2"/>
      <c r="C27" s="2"/>
      <c r="D27" s="1"/>
      <c r="E27" s="1"/>
      <c r="F27" s="2"/>
      <c r="G27" s="2"/>
      <c r="H27" s="2"/>
      <c r="I27" s="2"/>
      <c r="J27" s="2"/>
      <c r="K27" s="3"/>
      <c r="L27" s="2"/>
      <c r="M27" s="2"/>
      <c r="N27" s="2"/>
      <c r="O27" s="3"/>
      <c r="P27" s="2"/>
      <c r="Q27" s="1"/>
      <c r="R27" s="2"/>
      <c r="S27" s="2"/>
      <c r="T27" s="2"/>
      <c r="U27" s="1"/>
      <c r="V27" s="2"/>
      <c r="W27" s="2"/>
      <c r="X27" s="2"/>
      <c r="Y27" s="1"/>
      <c r="Z27" s="1"/>
      <c r="AA27" s="1"/>
      <c r="AB27" s="7"/>
      <c r="AC27" s="5"/>
      <c r="AD27" s="5"/>
      <c r="AE27" s="5"/>
      <c r="AF27" s="5"/>
    </row>
    <row r="28" spans="1:32" ht="15" customHeight="1">
      <c r="A28" s="55" t="s">
        <v>20</v>
      </c>
      <c r="B28" s="55"/>
      <c r="C28" s="55"/>
      <c r="D28" s="1"/>
      <c r="E28" s="1"/>
      <c r="F28" s="55" t="s">
        <v>48</v>
      </c>
      <c r="G28" s="55"/>
      <c r="H28" s="55"/>
      <c r="I28" s="3"/>
      <c r="J28" s="86" t="s">
        <v>49</v>
      </c>
      <c r="K28" s="87"/>
      <c r="L28" s="88"/>
      <c r="M28" s="2"/>
      <c r="N28" s="2"/>
      <c r="O28" s="3"/>
      <c r="P28" s="2"/>
      <c r="Q28" s="1"/>
      <c r="R28" s="2"/>
      <c r="S28" s="2"/>
      <c r="T28" s="2"/>
      <c r="U28" s="1"/>
      <c r="V28" s="2"/>
      <c r="W28" s="2"/>
      <c r="X28" s="2"/>
      <c r="Y28" s="1"/>
      <c r="Z28" s="1"/>
      <c r="AA28" s="1"/>
      <c r="AB28" s="7"/>
      <c r="AC28" s="5"/>
      <c r="AD28" s="5"/>
      <c r="AE28" s="5"/>
      <c r="AF28" s="5"/>
    </row>
    <row r="29" spans="1:32" ht="16.5">
      <c r="A29" s="55"/>
      <c r="B29" s="55"/>
      <c r="C29" s="55"/>
      <c r="D29" s="1"/>
      <c r="E29" s="1"/>
      <c r="F29" s="55"/>
      <c r="G29" s="55"/>
      <c r="H29" s="55"/>
      <c r="I29" s="3"/>
      <c r="J29" s="89"/>
      <c r="K29" s="90"/>
      <c r="L29" s="91"/>
      <c r="M29" s="2"/>
      <c r="N29" s="2"/>
      <c r="O29" s="3"/>
      <c r="P29" s="2"/>
      <c r="Q29" s="1"/>
      <c r="R29" s="2"/>
      <c r="S29" s="2"/>
      <c r="T29" s="2"/>
      <c r="U29" s="1"/>
      <c r="V29" s="2"/>
      <c r="W29" s="2"/>
      <c r="X29" s="2"/>
      <c r="Y29" s="1"/>
      <c r="Z29" s="1"/>
      <c r="AA29" s="1"/>
      <c r="AB29" s="7"/>
      <c r="AC29" s="5"/>
      <c r="AD29" s="5"/>
      <c r="AE29" s="5"/>
      <c r="AF29" s="5"/>
    </row>
    <row r="30" spans="1:32" ht="16.5">
      <c r="A30" s="2"/>
      <c r="B30" s="2"/>
      <c r="C30" s="2"/>
      <c r="D30" s="1"/>
      <c r="E30" s="1"/>
      <c r="F30" s="2"/>
      <c r="G30" s="2"/>
      <c r="H30" s="2"/>
      <c r="I30" s="3"/>
      <c r="J30" s="2"/>
      <c r="K30" s="2"/>
      <c r="L30" s="2"/>
      <c r="M30" s="2"/>
      <c r="N30" s="2"/>
      <c r="O30" s="3"/>
      <c r="P30" s="2"/>
      <c r="Q30" s="1"/>
      <c r="R30" s="2"/>
      <c r="S30" s="2"/>
      <c r="T30" s="2"/>
      <c r="U30" s="1"/>
      <c r="V30" s="2"/>
      <c r="W30" s="2"/>
      <c r="X30" s="2"/>
      <c r="Y30" s="1"/>
      <c r="Z30" s="1"/>
      <c r="AA30" s="1"/>
      <c r="AB30" s="7"/>
      <c r="AC30" s="5"/>
      <c r="AD30" s="5"/>
      <c r="AE30" s="5"/>
      <c r="AF30" s="5"/>
    </row>
    <row r="31" spans="1:32" ht="16.5" customHeight="1">
      <c r="A31" s="55" t="s">
        <v>21</v>
      </c>
      <c r="B31" s="55"/>
      <c r="C31" s="55"/>
      <c r="D31" s="1"/>
      <c r="E31" s="1"/>
      <c r="F31" s="55" t="s">
        <v>22</v>
      </c>
      <c r="G31" s="55"/>
      <c r="H31" s="55"/>
      <c r="I31" s="3"/>
      <c r="J31" s="55" t="s">
        <v>67</v>
      </c>
      <c r="K31" s="55"/>
      <c r="L31" s="55"/>
      <c r="M31" s="55"/>
      <c r="N31" s="2"/>
      <c r="O31" s="3"/>
      <c r="P31" s="2"/>
      <c r="Q31" s="1"/>
      <c r="R31" s="2"/>
      <c r="S31" s="2"/>
      <c r="T31" s="2"/>
      <c r="U31" s="1"/>
      <c r="V31" s="2"/>
      <c r="W31" s="2"/>
      <c r="X31" s="2"/>
      <c r="Y31" s="1"/>
      <c r="Z31" s="1"/>
      <c r="AA31" s="1"/>
      <c r="AB31" s="7"/>
      <c r="AC31" s="5"/>
      <c r="AD31" s="5"/>
      <c r="AE31" s="5"/>
      <c r="AF31" s="5"/>
    </row>
    <row r="32" spans="1:32" ht="23.25" customHeight="1">
      <c r="A32" s="55"/>
      <c r="B32" s="55"/>
      <c r="C32" s="55"/>
      <c r="D32" s="1"/>
      <c r="E32" s="1"/>
      <c r="F32" s="55"/>
      <c r="G32" s="55"/>
      <c r="H32" s="55"/>
      <c r="I32" s="3"/>
      <c r="J32" s="55"/>
      <c r="K32" s="55"/>
      <c r="L32" s="55"/>
      <c r="M32" s="55"/>
      <c r="N32" s="2"/>
      <c r="O32" s="3"/>
      <c r="P32" s="2"/>
      <c r="Q32" s="1"/>
      <c r="R32" s="2"/>
      <c r="S32" s="2"/>
      <c r="T32" s="2"/>
      <c r="U32" s="1"/>
      <c r="V32" s="2"/>
      <c r="W32" s="2"/>
      <c r="X32" s="2"/>
      <c r="Y32" s="1"/>
      <c r="Z32" s="1"/>
      <c r="AA32" s="1"/>
      <c r="AB32" s="7"/>
      <c r="AC32" s="5"/>
      <c r="AD32" s="5"/>
      <c r="AE32" s="5"/>
      <c r="AF32" s="5"/>
    </row>
    <row r="33" spans="1:32" ht="16.5">
      <c r="A33" s="1"/>
      <c r="B33" s="1"/>
      <c r="C33" s="1"/>
      <c r="D33" s="1"/>
      <c r="E33" s="1"/>
      <c r="F33" s="5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7"/>
      <c r="AC33" s="5"/>
      <c r="AD33" s="5"/>
      <c r="AE33" s="5"/>
      <c r="AF33" s="5"/>
    </row>
    <row r="34" spans="1:32" ht="16.5">
      <c r="A34" s="55" t="s">
        <v>7</v>
      </c>
      <c r="B34" s="55"/>
      <c r="C34" s="5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1"/>
      <c r="Y34" s="1"/>
      <c r="Z34" s="1"/>
      <c r="AA34" s="1"/>
      <c r="AB34" s="7"/>
      <c r="AC34" s="5"/>
      <c r="AD34" s="5"/>
      <c r="AE34" s="5"/>
      <c r="AF34" s="5"/>
    </row>
    <row r="35" spans="1:32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1"/>
      <c r="Y35" s="1"/>
      <c r="Z35" s="1"/>
      <c r="AA35" s="1"/>
      <c r="AB35" s="7"/>
      <c r="AC35" s="5"/>
      <c r="AD35" s="5"/>
      <c r="AE35" s="5"/>
      <c r="AF35" s="5"/>
    </row>
    <row r="36" spans="1:32" ht="15" customHeight="1">
      <c r="A36" s="55" t="s">
        <v>8</v>
      </c>
      <c r="B36" s="55"/>
      <c r="C36" s="55"/>
      <c r="D36" s="1"/>
      <c r="E36" s="55" t="s">
        <v>50</v>
      </c>
      <c r="F36" s="55"/>
      <c r="G36" s="55"/>
      <c r="H36" s="55"/>
      <c r="I36" s="1"/>
      <c r="J36" s="55" t="s">
        <v>51</v>
      </c>
      <c r="K36" s="55"/>
      <c r="L36" s="55"/>
      <c r="M36" s="55"/>
      <c r="N36" s="1"/>
      <c r="O36" s="55" t="s">
        <v>52</v>
      </c>
      <c r="P36" s="55"/>
      <c r="Q36" s="55"/>
      <c r="R36" s="55"/>
      <c r="S36" s="2"/>
      <c r="T36" s="55" t="s">
        <v>53</v>
      </c>
      <c r="U36" s="55"/>
      <c r="V36" s="55"/>
      <c r="W36" s="2"/>
      <c r="X36" s="1"/>
      <c r="Y36" s="1"/>
      <c r="Z36" s="1"/>
      <c r="AA36" s="1"/>
      <c r="AB36" s="7"/>
      <c r="AC36" s="5"/>
      <c r="AD36" s="5"/>
      <c r="AE36" s="5"/>
      <c r="AF36" s="5"/>
    </row>
    <row r="37" spans="1:32" ht="16.5">
      <c r="A37" s="55"/>
      <c r="B37" s="55"/>
      <c r="C37" s="55"/>
      <c r="D37" s="1"/>
      <c r="E37" s="55"/>
      <c r="F37" s="55"/>
      <c r="G37" s="55"/>
      <c r="H37" s="55"/>
      <c r="I37" s="1"/>
      <c r="J37" s="55"/>
      <c r="K37" s="55"/>
      <c r="L37" s="55"/>
      <c r="M37" s="55"/>
      <c r="N37" s="1"/>
      <c r="O37" s="55"/>
      <c r="P37" s="55"/>
      <c r="Q37" s="55"/>
      <c r="R37" s="55"/>
      <c r="S37" s="2"/>
      <c r="T37" s="55"/>
      <c r="U37" s="55"/>
      <c r="V37" s="55"/>
      <c r="W37" s="2"/>
      <c r="X37" s="1"/>
      <c r="Y37" s="1"/>
      <c r="Z37" s="1"/>
      <c r="AA37" s="1"/>
      <c r="AB37" s="7"/>
      <c r="AC37" s="5"/>
      <c r="AD37" s="5"/>
      <c r="AE37" s="5"/>
      <c r="AF37" s="5"/>
    </row>
    <row r="38" spans="1:32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3"/>
      <c r="U38" s="3"/>
      <c r="V38" s="2"/>
      <c r="W38" s="2"/>
      <c r="X38" s="1"/>
      <c r="Y38" s="1"/>
      <c r="Z38" s="1"/>
      <c r="AA38" s="1"/>
      <c r="AB38" s="7"/>
      <c r="AC38" s="5"/>
      <c r="AD38" s="5"/>
      <c r="AE38" s="5"/>
      <c r="AF38" s="5"/>
    </row>
    <row r="39" spans="1:32" ht="16.5">
      <c r="A39" s="55" t="s">
        <v>9</v>
      </c>
      <c r="B39" s="55"/>
      <c r="C39" s="55"/>
      <c r="D39" s="1"/>
      <c r="E39" s="55" t="s">
        <v>54</v>
      </c>
      <c r="F39" s="55"/>
      <c r="G39" s="55"/>
      <c r="H39" s="55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1"/>
      <c r="Y39" s="1"/>
      <c r="Z39" s="1"/>
      <c r="AA39" s="1"/>
      <c r="AB39" s="7"/>
      <c r="AC39" s="5"/>
      <c r="AD39" s="5"/>
      <c r="AE39" s="5"/>
      <c r="AF39" s="5"/>
    </row>
    <row r="40" spans="1:32" ht="16.5">
      <c r="A40" s="55"/>
      <c r="B40" s="55"/>
      <c r="C40" s="55"/>
      <c r="D40" s="1"/>
      <c r="E40" s="55"/>
      <c r="F40" s="55"/>
      <c r="G40" s="55"/>
      <c r="H40" s="55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1"/>
      <c r="Y40" s="1"/>
      <c r="Z40" s="1"/>
      <c r="AA40" s="1"/>
      <c r="AB40" s="7"/>
      <c r="AC40" s="5"/>
      <c r="AD40" s="5"/>
      <c r="AE40" s="5"/>
      <c r="AF40" s="5"/>
    </row>
    <row r="41" spans="1:32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7"/>
      <c r="AC41" s="5"/>
      <c r="AD41" s="5"/>
      <c r="AE41" s="5"/>
      <c r="AF41" s="5"/>
    </row>
    <row r="42" spans="1:32" ht="15" customHeight="1">
      <c r="A42" s="86" t="s">
        <v>10</v>
      </c>
      <c r="B42" s="87"/>
      <c r="C42" s="88"/>
      <c r="D42" s="1"/>
      <c r="E42" s="86" t="s">
        <v>55</v>
      </c>
      <c r="F42" s="87"/>
      <c r="G42" s="88"/>
      <c r="H42" s="55" t="s">
        <v>12</v>
      </c>
      <c r="I42" s="55"/>
      <c r="J42" s="55"/>
      <c r="K42" s="1"/>
      <c r="L42" s="1"/>
      <c r="M42" s="86" t="s">
        <v>56</v>
      </c>
      <c r="N42" s="87"/>
      <c r="O42" s="88"/>
      <c r="P42" s="55" t="s">
        <v>13</v>
      </c>
      <c r="Q42" s="55"/>
      <c r="R42" s="55"/>
      <c r="S42" s="1"/>
      <c r="T42" s="1"/>
      <c r="U42" s="1"/>
      <c r="V42" s="1"/>
      <c r="W42" s="1"/>
      <c r="X42" s="1"/>
      <c r="Y42" s="1"/>
      <c r="Z42" s="1"/>
      <c r="AA42" s="1"/>
      <c r="AB42" s="7"/>
      <c r="AC42" s="5"/>
      <c r="AD42" s="5"/>
      <c r="AE42" s="5"/>
      <c r="AF42" s="5"/>
    </row>
    <row r="43" spans="1:32" ht="16.5">
      <c r="A43" s="89"/>
      <c r="B43" s="90"/>
      <c r="C43" s="91"/>
      <c r="D43" s="1"/>
      <c r="E43" s="89"/>
      <c r="F43" s="90"/>
      <c r="G43" s="91"/>
      <c r="H43" s="55"/>
      <c r="I43" s="55"/>
      <c r="J43" s="55"/>
      <c r="K43" s="1"/>
      <c r="L43" s="1"/>
      <c r="M43" s="89"/>
      <c r="N43" s="90"/>
      <c r="O43" s="91"/>
      <c r="P43" s="55"/>
      <c r="Q43" s="55"/>
      <c r="R43" s="55"/>
      <c r="S43" s="1"/>
      <c r="T43" s="1"/>
      <c r="U43" s="1"/>
      <c r="V43" s="1"/>
      <c r="W43" s="1"/>
      <c r="X43" s="1"/>
      <c r="Y43" s="1"/>
      <c r="Z43" s="1"/>
      <c r="AA43" s="1"/>
      <c r="AB43" s="7"/>
      <c r="AC43" s="5"/>
      <c r="AD43" s="5"/>
      <c r="AE43" s="5"/>
      <c r="AF43" s="5"/>
    </row>
    <row r="44" spans="1:3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7"/>
      <c r="AC44" s="5"/>
      <c r="AD44" s="5"/>
      <c r="AE44" s="5"/>
      <c r="AF44" s="5"/>
    </row>
    <row r="45" spans="1:32" ht="15" customHeight="1">
      <c r="A45" s="55" t="s">
        <v>11</v>
      </c>
      <c r="B45" s="55"/>
      <c r="C45" s="55"/>
      <c r="D45" s="1"/>
      <c r="E45" s="86" t="s">
        <v>57</v>
      </c>
      <c r="F45" s="87"/>
      <c r="G45" s="87"/>
      <c r="H45" s="88"/>
      <c r="I45" s="55" t="s">
        <v>58</v>
      </c>
      <c r="J45" s="55"/>
      <c r="K45" s="1"/>
      <c r="L45" s="1"/>
      <c r="M45" s="86" t="s">
        <v>59</v>
      </c>
      <c r="N45" s="87"/>
      <c r="O45" s="87"/>
      <c r="P45" s="88"/>
      <c r="Q45" s="55" t="s">
        <v>60</v>
      </c>
      <c r="R45" s="55"/>
      <c r="S45" s="1"/>
      <c r="T45" s="1"/>
      <c r="U45" s="1"/>
      <c r="V45" s="1"/>
      <c r="W45" s="1"/>
      <c r="X45" s="1"/>
      <c r="Y45" s="1"/>
      <c r="Z45" s="1"/>
      <c r="AA45" s="1"/>
      <c r="AB45" s="7"/>
      <c r="AC45" s="5"/>
      <c r="AD45" s="5"/>
      <c r="AE45" s="5"/>
      <c r="AF45" s="5"/>
    </row>
    <row r="46" spans="1:32" ht="16.5">
      <c r="A46" s="55"/>
      <c r="B46" s="55"/>
      <c r="C46" s="55"/>
      <c r="D46" s="1"/>
      <c r="E46" s="94"/>
      <c r="F46" s="95"/>
      <c r="G46" s="95"/>
      <c r="H46" s="96"/>
      <c r="I46" s="55"/>
      <c r="J46" s="55"/>
      <c r="K46" s="1"/>
      <c r="L46" s="1"/>
      <c r="M46" s="94"/>
      <c r="N46" s="95"/>
      <c r="O46" s="95"/>
      <c r="P46" s="96"/>
      <c r="Q46" s="55"/>
      <c r="R46" s="55"/>
      <c r="S46" s="1"/>
      <c r="T46" s="1"/>
      <c r="U46" s="1"/>
      <c r="V46" s="1"/>
      <c r="W46" s="1"/>
      <c r="X46" s="1"/>
      <c r="Y46" s="1"/>
      <c r="Z46" s="1"/>
      <c r="AA46" s="1"/>
      <c r="AB46" s="7"/>
      <c r="AC46" s="5"/>
      <c r="AD46" s="5"/>
      <c r="AE46" s="5"/>
      <c r="AF46" s="5"/>
    </row>
    <row r="47" spans="1:32" ht="16.5">
      <c r="A47" s="55"/>
      <c r="B47" s="55"/>
      <c r="C47" s="55"/>
      <c r="D47" s="1"/>
      <c r="E47" s="89"/>
      <c r="F47" s="90"/>
      <c r="G47" s="90"/>
      <c r="H47" s="91"/>
      <c r="I47" s="55"/>
      <c r="J47" s="55"/>
      <c r="K47" s="1"/>
      <c r="L47" s="1"/>
      <c r="M47" s="89"/>
      <c r="N47" s="90"/>
      <c r="O47" s="90"/>
      <c r="P47" s="91"/>
      <c r="Q47" s="55"/>
      <c r="R47" s="55"/>
      <c r="S47" s="1"/>
      <c r="T47" s="1"/>
      <c r="U47" s="1"/>
      <c r="V47" s="1"/>
      <c r="W47" s="1"/>
      <c r="X47" s="1"/>
      <c r="Y47" s="1"/>
      <c r="Z47" s="1"/>
      <c r="AA47" s="1"/>
      <c r="AB47" s="7"/>
      <c r="AC47" s="5"/>
      <c r="AD47" s="5"/>
      <c r="AE47" s="5"/>
      <c r="AF47" s="5"/>
    </row>
    <row r="48" spans="1:3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7"/>
      <c r="AC48" s="5"/>
      <c r="AD48" s="5"/>
      <c r="AE48" s="5"/>
      <c r="AF48" s="5"/>
    </row>
    <row r="49" spans="1:32" ht="16.5">
      <c r="A49" s="55" t="s">
        <v>14</v>
      </c>
      <c r="B49" s="55"/>
      <c r="C49" s="55"/>
      <c r="D49" s="1"/>
      <c r="E49" s="55" t="s">
        <v>61</v>
      </c>
      <c r="F49" s="55"/>
      <c r="G49" s="55"/>
      <c r="H49" s="1"/>
      <c r="I49" s="55" t="s">
        <v>62</v>
      </c>
      <c r="J49" s="55"/>
      <c r="K49" s="55"/>
      <c r="L49" s="1"/>
      <c r="M49" s="55" t="s">
        <v>63</v>
      </c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7"/>
      <c r="AC49" s="5"/>
      <c r="AD49" s="5"/>
      <c r="AE49" s="5"/>
      <c r="AF49" s="5"/>
    </row>
    <row r="50" spans="1:32" ht="16.5">
      <c r="A50" s="55"/>
      <c r="B50" s="55"/>
      <c r="C50" s="55"/>
      <c r="D50" s="1"/>
      <c r="E50" s="55"/>
      <c r="F50" s="55"/>
      <c r="G50" s="55"/>
      <c r="H50" s="1"/>
      <c r="I50" s="55" t="s">
        <v>64</v>
      </c>
      <c r="J50" s="55"/>
      <c r="K50" s="55"/>
      <c r="L50" s="1"/>
      <c r="M50" s="55"/>
      <c r="N50" s="5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7"/>
      <c r="AC50" s="5"/>
      <c r="AD50" s="5"/>
      <c r="AE50" s="5"/>
      <c r="AF50" s="5"/>
    </row>
    <row r="51" spans="1:3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7"/>
      <c r="AC51" s="5"/>
      <c r="AD51" s="5"/>
      <c r="AE51" s="5"/>
      <c r="AF51" s="5"/>
    </row>
    <row r="52" spans="1:32" ht="15" customHeight="1">
      <c r="A52" s="55" t="s">
        <v>15</v>
      </c>
      <c r="B52" s="55"/>
      <c r="C52" s="55"/>
      <c r="D52" s="1"/>
      <c r="E52" s="55" t="s">
        <v>65</v>
      </c>
      <c r="F52" s="55"/>
      <c r="G52" s="55"/>
      <c r="H52" s="55"/>
      <c r="I52" s="1"/>
      <c r="J52" s="55" t="s">
        <v>66</v>
      </c>
      <c r="K52" s="55"/>
      <c r="L52" s="1"/>
      <c r="M52" s="55" t="s">
        <v>63</v>
      </c>
      <c r="N52" s="5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7"/>
      <c r="AC52" s="5"/>
      <c r="AD52" s="5"/>
      <c r="AE52" s="5"/>
      <c r="AF52" s="5"/>
    </row>
    <row r="53" spans="1:32" ht="16.5">
      <c r="A53" s="55"/>
      <c r="B53" s="55"/>
      <c r="C53" s="55"/>
      <c r="D53" s="1"/>
      <c r="E53" s="55"/>
      <c r="F53" s="55"/>
      <c r="G53" s="55"/>
      <c r="H53" s="55"/>
      <c r="I53" s="1"/>
      <c r="J53" s="55"/>
      <c r="K53" s="55"/>
      <c r="L53" s="1"/>
      <c r="M53" s="55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"/>
      <c r="AC53" s="5"/>
      <c r="AD53" s="5"/>
      <c r="AE53" s="5"/>
      <c r="AF53" s="5"/>
    </row>
    <row r="54" spans="1:32" ht="16.5">
      <c r="A54" s="1"/>
      <c r="B54" s="1"/>
      <c r="C54" s="1"/>
      <c r="D54" s="1"/>
      <c r="E54" s="1"/>
      <c r="F54" s="1"/>
      <c r="G54" s="1"/>
      <c r="H54" s="1"/>
      <c r="I54" s="1"/>
      <c r="J54" s="55"/>
      <c r="K54" s="5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7"/>
      <c r="AC54" s="5"/>
      <c r="AD54" s="5"/>
      <c r="AE54" s="5"/>
      <c r="AF54" s="5"/>
    </row>
    <row r="55" spans="1:32" ht="16.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5"/>
      <c r="AD55" s="5"/>
      <c r="AE55" s="5"/>
      <c r="AF55" s="5"/>
    </row>
    <row r="56" spans="1:32" ht="16.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7"/>
      <c r="AC56" s="5"/>
      <c r="AD56" s="5"/>
      <c r="AE56" s="5"/>
      <c r="AF56" s="5"/>
    </row>
    <row r="57" spans="1:32" ht="16.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7"/>
      <c r="AC57" s="5"/>
      <c r="AD57" s="5"/>
      <c r="AE57" s="5"/>
      <c r="AF57" s="5"/>
    </row>
    <row r="58" spans="1:32" ht="16.5" customHeight="1">
      <c r="A58" s="97" t="s">
        <v>246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7"/>
      <c r="AC58" s="5"/>
      <c r="AD58" s="5"/>
      <c r="AE58" s="5"/>
      <c r="AF58" s="5"/>
    </row>
    <row r="59" spans="1:32" ht="16.5">
      <c r="A59" s="97" t="s">
        <v>267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7"/>
      <c r="AC59" s="5"/>
      <c r="AD59" s="5"/>
      <c r="AE59" s="5"/>
      <c r="AF59" s="5"/>
    </row>
    <row r="60" spans="1:32" ht="16.5">
      <c r="A60" s="55" t="s">
        <v>247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7"/>
      <c r="AC60" s="5"/>
      <c r="AD60" s="5"/>
      <c r="AE60" s="5"/>
      <c r="AF60" s="5"/>
    </row>
    <row r="61" spans="1:32" ht="18">
      <c r="A61" s="25" t="s">
        <v>117</v>
      </c>
      <c r="B61" s="25">
        <v>20</v>
      </c>
      <c r="C61" s="1"/>
      <c r="D61" s="25" t="s">
        <v>116</v>
      </c>
      <c r="E61" s="25">
        <v>0</v>
      </c>
      <c r="F61" s="1"/>
      <c r="G61" s="25" t="s">
        <v>25</v>
      </c>
      <c r="H61" s="25"/>
      <c r="I61" s="1"/>
      <c r="J61" s="25" t="s">
        <v>26</v>
      </c>
      <c r="K61" s="25">
        <v>0.8</v>
      </c>
      <c r="L61" s="1"/>
      <c r="O61" s="1"/>
      <c r="P61" s="1"/>
      <c r="Q61" s="1"/>
      <c r="R61" s="1"/>
      <c r="S61" s="1"/>
      <c r="T61" s="1"/>
      <c r="U61" s="1"/>
      <c r="V61" s="6" t="s">
        <v>0</v>
      </c>
      <c r="W61" s="6" t="s">
        <v>1</v>
      </c>
      <c r="X61" s="1"/>
      <c r="Y61" s="1"/>
      <c r="Z61" s="1"/>
      <c r="AA61" s="1"/>
      <c r="AB61" s="7"/>
      <c r="AC61" s="5"/>
      <c r="AD61" s="5"/>
      <c r="AE61" s="5"/>
      <c r="AF61" s="5"/>
    </row>
    <row r="62" spans="1:3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7"/>
      <c r="AC62" s="5"/>
      <c r="AD62" s="5"/>
      <c r="AE62" s="5"/>
      <c r="AF62" s="5"/>
    </row>
    <row r="63" spans="1:32" ht="18">
      <c r="A63" s="6" t="s">
        <v>27</v>
      </c>
      <c r="B63" s="6">
        <v>0.02</v>
      </c>
      <c r="C63" s="1"/>
      <c r="D63" s="6" t="s">
        <v>28</v>
      </c>
      <c r="E63" s="6">
        <v>0.01</v>
      </c>
      <c r="F63" s="1"/>
      <c r="G63" s="6" t="s">
        <v>29</v>
      </c>
      <c r="H63" s="47">
        <v>0.02</v>
      </c>
      <c r="I63" s="48"/>
      <c r="J63" s="48"/>
      <c r="K63" s="48"/>
      <c r="L63" s="48"/>
      <c r="M63" s="48"/>
      <c r="N63" s="48"/>
      <c r="O63" s="48"/>
      <c r="P63" s="48"/>
      <c r="Q63" s="1"/>
      <c r="R63" s="1"/>
      <c r="S63" s="1"/>
      <c r="T63" s="1"/>
      <c r="U63" s="1"/>
      <c r="V63" s="6" t="s">
        <v>2</v>
      </c>
      <c r="W63" s="1"/>
      <c r="X63" s="1"/>
      <c r="Y63" s="1"/>
      <c r="Z63" s="1"/>
      <c r="AA63" s="1"/>
      <c r="AB63" s="7"/>
      <c r="AC63" s="5"/>
      <c r="AD63" s="5"/>
      <c r="AE63" s="5"/>
      <c r="AF63" s="5"/>
    </row>
    <row r="64" spans="1:3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7"/>
      <c r="AC64" s="5"/>
      <c r="AD64" s="5"/>
      <c r="AE64" s="5"/>
      <c r="AF64" s="5"/>
    </row>
    <row r="65" spans="1:36" ht="18.75">
      <c r="A65" s="6" t="s">
        <v>30</v>
      </c>
      <c r="B65" s="6">
        <v>8</v>
      </c>
      <c r="C65" s="1"/>
      <c r="D65" s="6" t="s">
        <v>31</v>
      </c>
      <c r="E65" s="6">
        <v>0.7</v>
      </c>
      <c r="F65" s="1"/>
      <c r="G65" s="6" t="s">
        <v>32</v>
      </c>
      <c r="H65" s="6">
        <v>7.0000000000000007E-2</v>
      </c>
      <c r="I65" s="1"/>
      <c r="J65" s="6" t="s">
        <v>33</v>
      </c>
      <c r="K65" s="6">
        <v>0.04</v>
      </c>
      <c r="L65" s="1"/>
      <c r="M65" s="48"/>
      <c r="N65" s="48"/>
      <c r="O65" s="48"/>
      <c r="P65" s="48"/>
      <c r="Q65" s="48"/>
      <c r="R65" s="48"/>
      <c r="S65" s="2"/>
      <c r="T65" s="2"/>
      <c r="U65" s="2"/>
      <c r="V65" s="92" t="s">
        <v>34</v>
      </c>
      <c r="W65" s="92"/>
      <c r="X65" s="2"/>
      <c r="Y65" s="2"/>
      <c r="Z65" s="2"/>
      <c r="AA65" s="2"/>
      <c r="AB65" s="4"/>
      <c r="AC65" s="9"/>
      <c r="AD65" s="9"/>
      <c r="AE65" s="5"/>
      <c r="AF65" s="5"/>
    </row>
    <row r="66" spans="1:3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2"/>
      <c r="R66" s="2"/>
      <c r="S66" s="2"/>
      <c r="T66" s="2"/>
      <c r="U66" s="2"/>
      <c r="V66" s="55" t="s">
        <v>35</v>
      </c>
      <c r="W66" s="55"/>
      <c r="X66" s="2"/>
      <c r="Y66" s="2"/>
      <c r="Z66" s="55" t="s">
        <v>266</v>
      </c>
      <c r="AA66" s="55"/>
      <c r="AB66" s="55"/>
      <c r="AC66" s="55"/>
      <c r="AD66" s="55"/>
      <c r="AE66" s="5"/>
      <c r="AF66" s="5"/>
    </row>
    <row r="67" spans="1:36" ht="28.5" customHeight="1">
      <c r="A67" s="6" t="s">
        <v>72</v>
      </c>
      <c r="B67" s="6">
        <v>23</v>
      </c>
      <c r="C67" s="1"/>
      <c r="D67" s="1"/>
      <c r="E67" s="1"/>
      <c r="F67" s="1"/>
      <c r="G67" s="1"/>
      <c r="H67" s="1"/>
      <c r="I67" s="1"/>
      <c r="J67" s="1"/>
      <c r="K67" s="1"/>
      <c r="L67" s="1"/>
      <c r="O67" s="1"/>
      <c r="P67" s="1"/>
      <c r="Q67" s="2"/>
      <c r="R67" s="3"/>
      <c r="S67" s="3"/>
      <c r="T67" s="3"/>
      <c r="U67" s="3"/>
      <c r="V67" s="55"/>
      <c r="W67" s="55"/>
      <c r="X67" s="3"/>
      <c r="Y67" s="3"/>
      <c r="Z67" s="55"/>
      <c r="AA67" s="55"/>
      <c r="AB67" s="55"/>
      <c r="AC67" s="55"/>
      <c r="AD67" s="55"/>
      <c r="AE67" s="5"/>
      <c r="AF67" s="5"/>
    </row>
    <row r="68" spans="1:3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2"/>
      <c r="R68" s="3"/>
      <c r="S68" s="3"/>
      <c r="T68" s="3"/>
      <c r="U68" s="3"/>
      <c r="V68" s="1"/>
      <c r="W68" s="1"/>
      <c r="X68" s="3"/>
      <c r="Y68" s="3"/>
      <c r="Z68" s="55"/>
      <c r="AA68" s="55"/>
      <c r="AB68" s="55"/>
      <c r="AC68" s="55"/>
      <c r="AD68" s="55"/>
      <c r="AE68" s="5"/>
      <c r="AF68" s="5"/>
    </row>
    <row r="69" spans="1:36" ht="18.75">
      <c r="A69" s="6" t="s">
        <v>36</v>
      </c>
      <c r="B69" s="6">
        <f>18*POWER(10,-12)</f>
        <v>1.7999999999999999E-11</v>
      </c>
      <c r="C69" s="1"/>
      <c r="D69" s="6" t="s">
        <v>37</v>
      </c>
      <c r="E69" s="6">
        <f>80*POWER(10,-12)</f>
        <v>7.9999999999999995E-11</v>
      </c>
      <c r="F69" s="1"/>
      <c r="G69" s="6" t="s">
        <v>38</v>
      </c>
      <c r="H69" s="47">
        <f>150*POWER(10,-12)</f>
        <v>1.5E-10</v>
      </c>
      <c r="I69" s="48"/>
      <c r="J69" s="48"/>
      <c r="K69" s="48"/>
      <c r="L69" s="48"/>
      <c r="M69" s="48"/>
      <c r="N69" s="48"/>
      <c r="O69" s="1"/>
      <c r="P69" s="1"/>
      <c r="Q69" s="2"/>
      <c r="R69" s="2"/>
      <c r="S69" s="2"/>
      <c r="T69" s="2"/>
      <c r="U69" s="2"/>
      <c r="V69" s="55" t="s">
        <v>84</v>
      </c>
      <c r="W69" s="55"/>
      <c r="X69" s="2"/>
      <c r="Y69" s="2"/>
      <c r="Z69" s="2"/>
      <c r="AA69" s="2"/>
      <c r="AB69" s="4"/>
      <c r="AC69" s="9"/>
      <c r="AD69" s="9"/>
      <c r="AE69" s="5"/>
      <c r="AF69" s="5"/>
    </row>
    <row r="70" spans="1:36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"/>
      <c r="AC70" s="9"/>
      <c r="AD70" s="9"/>
      <c r="AE70" s="5"/>
      <c r="AF70" s="5"/>
    </row>
    <row r="71" spans="1:36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"/>
      <c r="AC71" s="9"/>
      <c r="AD71" s="9"/>
      <c r="AE71" s="5"/>
      <c r="AF71" s="5"/>
    </row>
    <row r="72" spans="1:36" ht="20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"/>
      <c r="P72" s="1"/>
      <c r="Q72" s="2"/>
      <c r="R72" s="2"/>
      <c r="S72" s="2"/>
      <c r="T72" s="2"/>
      <c r="U72" s="2"/>
      <c r="V72" s="2"/>
      <c r="W72" s="2"/>
      <c r="X72" s="2"/>
      <c r="Y72" s="55" t="s">
        <v>132</v>
      </c>
      <c r="Z72" s="55"/>
      <c r="AA72" s="55" t="e">
        <f>((200*POWER(10,-12))/(K69))</f>
        <v>#DIV/0!</v>
      </c>
      <c r="AB72" s="55"/>
      <c r="AC72" s="9"/>
      <c r="AD72" s="9"/>
      <c r="AE72" s="5"/>
      <c r="AF72" s="5"/>
    </row>
    <row r="73" spans="1:36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"/>
      <c r="AC73" s="9"/>
      <c r="AD73" s="9"/>
      <c r="AE73" s="5"/>
      <c r="AF73" s="5"/>
    </row>
    <row r="74" spans="1:36" ht="16.5">
      <c r="A74" s="13" t="s">
        <v>71</v>
      </c>
      <c r="B74" s="60">
        <f>POWER((((1/B65)+(B63/E65)+(E63/H65)+(H63/K65)+(1/B67))),-1)</f>
        <v>1.1906082455167313</v>
      </c>
      <c r="C74" s="60"/>
      <c r="D74" s="60"/>
      <c r="E74" s="60" t="s">
        <v>75</v>
      </c>
      <c r="F74" s="60"/>
      <c r="G74" s="11"/>
      <c r="H74" s="11"/>
      <c r="I74" s="11"/>
      <c r="J74" s="10"/>
      <c r="K74" s="10"/>
      <c r="L74" s="10"/>
      <c r="M74" s="10"/>
      <c r="N74" s="10"/>
      <c r="O74" s="1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"/>
      <c r="AC74" s="9"/>
      <c r="AD74" s="9"/>
      <c r="AE74" s="5"/>
      <c r="AF74" s="5"/>
    </row>
    <row r="75" spans="1:36" ht="16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"/>
      <c r="AC75" s="9"/>
      <c r="AD75" s="9"/>
      <c r="AE75" s="5"/>
      <c r="AF75" s="5"/>
    </row>
    <row r="76" spans="1:36" ht="16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"/>
      <c r="AC76" s="9"/>
      <c r="AD76" s="9"/>
      <c r="AE76" s="5"/>
      <c r="AF76" s="5"/>
    </row>
    <row r="77" spans="1:36" ht="18.75">
      <c r="A77" s="13" t="s">
        <v>73</v>
      </c>
      <c r="B77" s="60">
        <f>((B74)*(B61-E61))</f>
        <v>23.812164910334626</v>
      </c>
      <c r="C77" s="60"/>
      <c r="D77" s="60"/>
      <c r="E77" s="60" t="s">
        <v>74</v>
      </c>
      <c r="F77" s="60"/>
      <c r="G77" s="12"/>
      <c r="H77" s="12"/>
      <c r="I77" s="12"/>
      <c r="J77" s="12"/>
      <c r="K77" s="12"/>
      <c r="L77" s="12"/>
      <c r="M77" s="12"/>
      <c r="N77" s="12"/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46"/>
      <c r="AB77" s="4"/>
      <c r="AC77" s="9"/>
      <c r="AD77" s="9"/>
      <c r="AE77" s="9"/>
      <c r="AF77" s="9"/>
      <c r="AG77" s="33"/>
      <c r="AH77" s="33"/>
      <c r="AI77" s="33"/>
      <c r="AJ77" s="33"/>
    </row>
    <row r="78" spans="1:36" ht="16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1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"/>
      <c r="Z78" s="2"/>
      <c r="AA78" s="46"/>
      <c r="AB78" s="76" t="s">
        <v>134</v>
      </c>
      <c r="AC78" s="76"/>
      <c r="AD78" s="76"/>
      <c r="AE78" s="76"/>
      <c r="AF78" s="76"/>
      <c r="AG78" s="76"/>
      <c r="AH78" s="76"/>
      <c r="AI78" s="76"/>
      <c r="AJ78" s="33"/>
    </row>
    <row r="79" spans="1:36" ht="22.5" customHeight="1">
      <c r="A79" s="98" t="s">
        <v>217</v>
      </c>
      <c r="B79" s="98"/>
      <c r="C79" s="98"/>
      <c r="D79" s="98"/>
      <c r="E79" s="98"/>
      <c r="F79" s="12"/>
      <c r="G79" s="12"/>
      <c r="H79" s="12"/>
      <c r="I79" s="67" t="s">
        <v>187</v>
      </c>
      <c r="J79" s="67"/>
      <c r="K79" s="67"/>
      <c r="L79" s="99" t="s">
        <v>85</v>
      </c>
      <c r="M79" s="100"/>
      <c r="N79" s="100"/>
      <c r="O79" s="100"/>
      <c r="P79" s="100"/>
      <c r="Q79" s="67" t="s">
        <v>227</v>
      </c>
      <c r="R79" s="67"/>
      <c r="S79" s="39"/>
      <c r="T79" s="15"/>
      <c r="U79" s="15"/>
      <c r="V79" s="15"/>
      <c r="W79" s="32"/>
      <c r="X79" s="32"/>
      <c r="Y79" s="1"/>
      <c r="Z79" s="1"/>
      <c r="AA79" s="46"/>
      <c r="AB79" s="57" t="s">
        <v>135</v>
      </c>
      <c r="AC79" s="57"/>
      <c r="AD79" s="57"/>
      <c r="AE79" s="57"/>
      <c r="AF79" s="57"/>
      <c r="AG79" s="57"/>
      <c r="AH79" s="57"/>
      <c r="AI79" s="57"/>
      <c r="AJ79" s="33"/>
    </row>
    <row r="80" spans="1:36" ht="19.5" customHeight="1">
      <c r="A80" s="43" t="s">
        <v>117</v>
      </c>
      <c r="B80" s="71">
        <f>B61</f>
        <v>20</v>
      </c>
      <c r="C80" s="72"/>
      <c r="D80" s="60" t="s">
        <v>76</v>
      </c>
      <c r="E80" s="60"/>
      <c r="F80" s="12"/>
      <c r="G80" s="12"/>
      <c r="H80" s="12"/>
      <c r="I80" s="60" t="s">
        <v>175</v>
      </c>
      <c r="J80" s="60"/>
      <c r="K80" s="60"/>
      <c r="L80" s="63">
        <v>1</v>
      </c>
      <c r="M80" s="63"/>
      <c r="N80" s="63">
        <v>10</v>
      </c>
      <c r="O80" s="63"/>
      <c r="P80" s="63"/>
      <c r="Q80" s="64">
        <f>L80/N80</f>
        <v>0.1</v>
      </c>
      <c r="R80" s="65"/>
      <c r="S80" s="39"/>
      <c r="T80" s="15"/>
      <c r="U80" s="15"/>
      <c r="V80" s="15"/>
      <c r="W80" s="32"/>
      <c r="X80" s="32"/>
      <c r="Y80" s="1"/>
      <c r="Z80" s="1"/>
      <c r="AA80" s="46"/>
      <c r="AB80" s="57"/>
      <c r="AC80" s="57"/>
      <c r="AD80" s="57"/>
      <c r="AE80" s="57"/>
      <c r="AF80" s="57"/>
      <c r="AG80" s="57"/>
      <c r="AH80" s="57"/>
      <c r="AI80" s="57"/>
      <c r="AJ80" s="33"/>
    </row>
    <row r="81" spans="1:36" ht="18" customHeight="1">
      <c r="A81" s="42" t="s">
        <v>77</v>
      </c>
      <c r="B81" s="60">
        <f>B61-((1/B65)*(B77))</f>
        <v>17.023479386208173</v>
      </c>
      <c r="C81" s="60"/>
      <c r="D81" s="60" t="s">
        <v>76</v>
      </c>
      <c r="E81" s="60"/>
      <c r="F81" s="12"/>
      <c r="G81" s="12"/>
      <c r="H81" s="12"/>
      <c r="I81" s="60" t="s">
        <v>176</v>
      </c>
      <c r="J81" s="60"/>
      <c r="K81" s="60"/>
      <c r="L81" s="66">
        <v>2</v>
      </c>
      <c r="M81" s="66"/>
      <c r="N81" s="66" t="s">
        <v>162</v>
      </c>
      <c r="O81" s="66"/>
      <c r="P81" s="66"/>
      <c r="Q81" s="72">
        <f>L81/N80</f>
        <v>0.2</v>
      </c>
      <c r="R81" s="66"/>
      <c r="S81" s="39"/>
      <c r="T81" s="15"/>
      <c r="U81" s="15"/>
      <c r="V81" s="15"/>
      <c r="W81" s="32"/>
      <c r="X81" s="32"/>
      <c r="Y81" s="1"/>
      <c r="Z81" s="1"/>
      <c r="AA81" s="46"/>
      <c r="AB81" s="57"/>
      <c r="AC81" s="57"/>
      <c r="AD81" s="57"/>
      <c r="AE81" s="57"/>
      <c r="AF81" s="57"/>
      <c r="AG81" s="57"/>
      <c r="AH81" s="57"/>
      <c r="AI81" s="57"/>
      <c r="AJ81" s="33"/>
    </row>
    <row r="82" spans="1:36" ht="18" customHeight="1">
      <c r="A82" s="40" t="s">
        <v>207</v>
      </c>
      <c r="B82" s="61">
        <f>B61-((((1/B65)+((B63*Q80)/(E65)))*(B77)))</f>
        <v>16.955444629321502</v>
      </c>
      <c r="C82" s="62"/>
      <c r="D82" s="60" t="s">
        <v>76</v>
      </c>
      <c r="E82" s="60"/>
      <c r="F82" s="12"/>
      <c r="G82" s="12"/>
      <c r="H82" s="12"/>
      <c r="I82" s="60" t="s">
        <v>177</v>
      </c>
      <c r="J82" s="60"/>
      <c r="K82" s="60"/>
      <c r="L82" s="66">
        <v>3</v>
      </c>
      <c r="M82" s="66"/>
      <c r="N82" s="66"/>
      <c r="O82" s="66"/>
      <c r="P82" s="66"/>
      <c r="Q82" s="72">
        <f>L82/N80</f>
        <v>0.3</v>
      </c>
      <c r="R82" s="66"/>
      <c r="S82" s="15"/>
      <c r="T82" s="15"/>
      <c r="U82" s="15"/>
      <c r="V82" s="15"/>
      <c r="W82" s="32"/>
      <c r="X82" s="32"/>
      <c r="Y82" s="1"/>
      <c r="Z82" s="1"/>
      <c r="AA82" s="46"/>
      <c r="AB82" s="57"/>
      <c r="AC82" s="57"/>
      <c r="AD82" s="57"/>
      <c r="AE82" s="57"/>
      <c r="AF82" s="57"/>
      <c r="AG82" s="57"/>
      <c r="AH82" s="57"/>
      <c r="AI82" s="57"/>
      <c r="AJ82" s="33"/>
    </row>
    <row r="83" spans="1:36" ht="18">
      <c r="A83" s="40" t="s">
        <v>208</v>
      </c>
      <c r="B83" s="61">
        <f>B61-((((1/B65)+((B63*Q81)/(E65)))*(B77)))</f>
        <v>16.88740987243483</v>
      </c>
      <c r="C83" s="62"/>
      <c r="D83" s="60" t="s">
        <v>76</v>
      </c>
      <c r="E83" s="60"/>
      <c r="F83" s="12"/>
      <c r="G83" s="12"/>
      <c r="H83" s="12"/>
      <c r="I83" s="60" t="s">
        <v>178</v>
      </c>
      <c r="J83" s="60"/>
      <c r="K83" s="60"/>
      <c r="L83" s="66">
        <v>4</v>
      </c>
      <c r="M83" s="66"/>
      <c r="N83" s="66"/>
      <c r="O83" s="66"/>
      <c r="P83" s="66"/>
      <c r="Q83" s="72">
        <f>L83/N80</f>
        <v>0.4</v>
      </c>
      <c r="R83" s="66"/>
      <c r="S83" s="15"/>
      <c r="T83" s="15"/>
      <c r="U83" s="15"/>
      <c r="V83" s="15"/>
      <c r="W83" s="32"/>
      <c r="X83" s="32"/>
      <c r="Y83" s="1"/>
      <c r="Z83" s="1"/>
      <c r="AA83" s="46"/>
      <c r="AB83" s="57"/>
      <c r="AC83" s="57"/>
      <c r="AD83" s="57"/>
      <c r="AE83" s="57"/>
      <c r="AF83" s="57"/>
      <c r="AG83" s="57"/>
      <c r="AH83" s="57"/>
      <c r="AI83" s="57"/>
      <c r="AJ83" s="33"/>
    </row>
    <row r="84" spans="1:36" ht="18">
      <c r="A84" s="40" t="s">
        <v>210</v>
      </c>
      <c r="B84" s="61">
        <f>B61-((((1/B65)+((B63*Q82)/(E65)))*(B77)))</f>
        <v>16.819375115548162</v>
      </c>
      <c r="C84" s="62"/>
      <c r="D84" s="60" t="s">
        <v>76</v>
      </c>
      <c r="E84" s="60"/>
      <c r="F84" s="12"/>
      <c r="G84" s="12"/>
      <c r="H84" s="12"/>
      <c r="I84" s="60" t="s">
        <v>179</v>
      </c>
      <c r="J84" s="60"/>
      <c r="K84" s="60"/>
      <c r="L84" s="66">
        <v>5</v>
      </c>
      <c r="M84" s="66"/>
      <c r="N84" s="66"/>
      <c r="O84" s="66"/>
      <c r="P84" s="66"/>
      <c r="Q84" s="72">
        <f>L84/N80</f>
        <v>0.5</v>
      </c>
      <c r="R84" s="66"/>
      <c r="S84" s="15"/>
      <c r="T84" s="15"/>
      <c r="U84" s="15"/>
      <c r="X84" s="32"/>
      <c r="Y84" s="1"/>
      <c r="Z84" s="1"/>
      <c r="AA84" s="46"/>
      <c r="AB84" s="57"/>
      <c r="AC84" s="57"/>
      <c r="AD84" s="57"/>
      <c r="AE84" s="57"/>
      <c r="AF84" s="57"/>
      <c r="AG84" s="57"/>
      <c r="AH84" s="57"/>
      <c r="AI84" s="57"/>
      <c r="AJ84" s="33"/>
    </row>
    <row r="85" spans="1:36" ht="18">
      <c r="A85" s="40" t="s">
        <v>211</v>
      </c>
      <c r="B85" s="61">
        <f>B61-((((1/B65)+((B63*Q83)/(E65)))*(B77)))</f>
        <v>16.751340358661491</v>
      </c>
      <c r="C85" s="62"/>
      <c r="D85" s="60" t="s">
        <v>76</v>
      </c>
      <c r="E85" s="60"/>
      <c r="F85" s="12"/>
      <c r="G85" s="12"/>
      <c r="H85" s="12"/>
      <c r="I85" s="60" t="s">
        <v>180</v>
      </c>
      <c r="J85" s="60"/>
      <c r="K85" s="60"/>
      <c r="L85" s="66">
        <v>6</v>
      </c>
      <c r="M85" s="66"/>
      <c r="N85" s="66"/>
      <c r="O85" s="66"/>
      <c r="P85" s="66"/>
      <c r="Q85" s="72">
        <f>L85/N80</f>
        <v>0.6</v>
      </c>
      <c r="R85" s="66"/>
      <c r="S85" s="15"/>
      <c r="T85" s="15"/>
      <c r="U85" s="15"/>
      <c r="X85" s="32"/>
      <c r="Y85" s="1"/>
      <c r="Z85" s="1"/>
      <c r="AA85" s="46"/>
      <c r="AB85" s="57"/>
      <c r="AC85" s="57"/>
      <c r="AD85" s="57"/>
      <c r="AE85" s="57"/>
      <c r="AF85" s="57"/>
      <c r="AG85" s="57"/>
      <c r="AH85" s="57"/>
      <c r="AI85" s="57"/>
      <c r="AJ85" s="33"/>
    </row>
    <row r="86" spans="1:36" ht="18">
      <c r="A86" s="40" t="s">
        <v>212</v>
      </c>
      <c r="B86" s="61">
        <f>B61-((((1/B65)+((B63*Q84)/(E65)))*(B77)))</f>
        <v>16.683305601774819</v>
      </c>
      <c r="C86" s="62"/>
      <c r="D86" s="60" t="s">
        <v>76</v>
      </c>
      <c r="E86" s="60"/>
      <c r="F86" s="12"/>
      <c r="G86" s="12"/>
      <c r="H86" s="12"/>
      <c r="I86" s="60" t="s">
        <v>181</v>
      </c>
      <c r="J86" s="60"/>
      <c r="K86" s="60"/>
      <c r="L86" s="66">
        <v>7</v>
      </c>
      <c r="M86" s="66"/>
      <c r="N86" s="66"/>
      <c r="O86" s="66"/>
      <c r="P86" s="66"/>
      <c r="Q86" s="72">
        <f>L86/N80</f>
        <v>0.7</v>
      </c>
      <c r="R86" s="66"/>
      <c r="S86" s="15"/>
      <c r="T86" s="15"/>
      <c r="U86" s="15"/>
      <c r="X86" s="32"/>
      <c r="Y86" s="1"/>
      <c r="Z86" s="1"/>
      <c r="AA86" s="46"/>
      <c r="AB86" s="57"/>
      <c r="AC86" s="57"/>
      <c r="AD86" s="57"/>
      <c r="AE86" s="57"/>
      <c r="AF86" s="57"/>
      <c r="AG86" s="57"/>
      <c r="AH86" s="57"/>
      <c r="AI86" s="57"/>
      <c r="AJ86" s="33"/>
    </row>
    <row r="87" spans="1:36" ht="18">
      <c r="A87" s="40" t="s">
        <v>213</v>
      </c>
      <c r="B87" s="61">
        <f>B61-((((1/B65)+((B63*Q85)/(E65)))*(B77)))</f>
        <v>16.615270844888151</v>
      </c>
      <c r="C87" s="62"/>
      <c r="D87" s="60" t="s">
        <v>76</v>
      </c>
      <c r="E87" s="60"/>
      <c r="F87" s="12"/>
      <c r="G87" s="12"/>
      <c r="H87" s="12"/>
      <c r="I87" s="60" t="s">
        <v>182</v>
      </c>
      <c r="J87" s="60"/>
      <c r="K87" s="60"/>
      <c r="L87" s="66">
        <v>8</v>
      </c>
      <c r="M87" s="66"/>
      <c r="N87" s="66"/>
      <c r="O87" s="66"/>
      <c r="P87" s="66"/>
      <c r="Q87" s="72">
        <f>L87/N80</f>
        <v>0.8</v>
      </c>
      <c r="R87" s="66"/>
      <c r="S87" s="15"/>
      <c r="T87" s="15"/>
      <c r="U87" s="15"/>
      <c r="X87" s="32"/>
      <c r="Y87" s="1"/>
      <c r="Z87" s="1"/>
      <c r="AA87" s="46"/>
      <c r="AB87" s="57" t="s">
        <v>136</v>
      </c>
      <c r="AC87" s="57"/>
      <c r="AD87" s="57"/>
      <c r="AE87" s="57"/>
      <c r="AF87" s="57"/>
      <c r="AG87" s="57"/>
      <c r="AH87" s="57"/>
      <c r="AI87" s="57"/>
      <c r="AJ87" s="33"/>
    </row>
    <row r="88" spans="1:36" ht="18">
      <c r="A88" s="40" t="s">
        <v>214</v>
      </c>
      <c r="B88" s="61">
        <f>B61-((((1/B65)+((B63*Q86)/(E65)))*(B77)))</f>
        <v>16.54723608800148</v>
      </c>
      <c r="C88" s="62"/>
      <c r="D88" s="60" t="s">
        <v>76</v>
      </c>
      <c r="E88" s="60"/>
      <c r="F88" s="12"/>
      <c r="G88" s="12"/>
      <c r="H88" s="12"/>
      <c r="I88" s="60" t="s">
        <v>183</v>
      </c>
      <c r="J88" s="60"/>
      <c r="K88" s="60"/>
      <c r="L88" s="66">
        <v>9</v>
      </c>
      <c r="M88" s="66"/>
      <c r="N88" s="66"/>
      <c r="O88" s="66"/>
      <c r="P88" s="66"/>
      <c r="Q88" s="72">
        <f>L88/N80</f>
        <v>0.9</v>
      </c>
      <c r="R88" s="66"/>
      <c r="S88" s="15"/>
      <c r="T88" s="15"/>
      <c r="U88" s="15"/>
      <c r="X88" s="32"/>
      <c r="Y88" s="1"/>
      <c r="Z88" s="1"/>
      <c r="AA88" s="46"/>
      <c r="AB88" s="57" t="s">
        <v>137</v>
      </c>
      <c r="AC88" s="57"/>
      <c r="AD88" s="57"/>
      <c r="AE88" s="57"/>
      <c r="AF88" s="57"/>
      <c r="AG88" s="57"/>
      <c r="AH88" s="57"/>
      <c r="AI88" s="57"/>
      <c r="AJ88" s="33"/>
    </row>
    <row r="89" spans="1:36" ht="18">
      <c r="A89" s="40" t="s">
        <v>215</v>
      </c>
      <c r="B89" s="61">
        <f>B61-((((1/B65)+((B63*Q87)/(E65)))*(B77)))</f>
        <v>16.479201331114808</v>
      </c>
      <c r="C89" s="62"/>
      <c r="D89" s="60" t="s">
        <v>76</v>
      </c>
      <c r="E89" s="60"/>
      <c r="F89" s="12"/>
      <c r="G89" s="12"/>
      <c r="H89" s="12"/>
      <c r="I89" s="60" t="s">
        <v>188</v>
      </c>
      <c r="J89" s="60"/>
      <c r="K89" s="60"/>
      <c r="L89" s="66">
        <v>10</v>
      </c>
      <c r="M89" s="66"/>
      <c r="N89" s="66"/>
      <c r="O89" s="66"/>
      <c r="P89" s="66"/>
      <c r="Q89" s="72">
        <f>L89/N80</f>
        <v>1</v>
      </c>
      <c r="R89" s="66"/>
      <c r="S89" s="15"/>
      <c r="T89" s="15"/>
      <c r="U89" s="15"/>
      <c r="X89" s="32"/>
      <c r="Y89" s="1"/>
      <c r="Z89" s="1"/>
      <c r="AA89" s="46"/>
      <c r="AB89" s="57" t="s">
        <v>138</v>
      </c>
      <c r="AC89" s="57"/>
      <c r="AD89" s="57"/>
      <c r="AE89" s="57"/>
      <c r="AF89" s="57"/>
      <c r="AG89" s="57"/>
      <c r="AH89" s="57"/>
      <c r="AI89" s="57"/>
      <c r="AJ89" s="33"/>
    </row>
    <row r="90" spans="1:36" ht="18">
      <c r="A90" s="40" t="s">
        <v>216</v>
      </c>
      <c r="B90" s="61">
        <f>B61-((((1/B65)+((B63*Q88)/(E65)))*(B77)))</f>
        <v>16.41116657422814</v>
      </c>
      <c r="C90" s="62"/>
      <c r="D90" s="60" t="s">
        <v>76</v>
      </c>
      <c r="E90" s="60"/>
      <c r="F90" s="12"/>
      <c r="G90" s="12"/>
      <c r="H90" s="12"/>
      <c r="I90" s="44"/>
      <c r="J90" s="44"/>
      <c r="K90" s="44"/>
      <c r="L90" s="44"/>
      <c r="M90" s="44"/>
      <c r="N90" s="32"/>
      <c r="O90" s="32"/>
      <c r="P90" s="32"/>
      <c r="S90" s="15"/>
      <c r="T90" s="15"/>
      <c r="U90" s="15"/>
      <c r="X90" s="32"/>
      <c r="Y90" s="1"/>
      <c r="Z90" s="1"/>
      <c r="AA90" s="46"/>
      <c r="AB90" s="57" t="s">
        <v>139</v>
      </c>
      <c r="AC90" s="57"/>
      <c r="AD90" s="57"/>
      <c r="AE90" s="57"/>
      <c r="AF90" s="57"/>
      <c r="AG90" s="57"/>
      <c r="AH90" s="57"/>
      <c r="AI90" s="57"/>
      <c r="AJ90" s="33"/>
    </row>
    <row r="91" spans="1:36" ht="18" customHeight="1">
      <c r="A91" s="42" t="s">
        <v>78</v>
      </c>
      <c r="B91" s="60">
        <f>B61-(((1/B65)+(B63/E65))*(B77))</f>
        <v>16.343131817341469</v>
      </c>
      <c r="C91" s="60"/>
      <c r="D91" s="60" t="s">
        <v>76</v>
      </c>
      <c r="E91" s="60"/>
      <c r="F91" s="12"/>
      <c r="G91" s="12"/>
      <c r="H91" s="12"/>
      <c r="S91" s="32"/>
      <c r="T91" s="32"/>
      <c r="U91" s="32"/>
      <c r="X91" s="32"/>
      <c r="Y91" s="1"/>
      <c r="Z91" s="1"/>
      <c r="AA91" s="46"/>
      <c r="AB91" s="57" t="s">
        <v>140</v>
      </c>
      <c r="AC91" s="57"/>
      <c r="AD91" s="57"/>
      <c r="AE91" s="57"/>
      <c r="AF91" s="57"/>
      <c r="AG91" s="57"/>
      <c r="AH91" s="57"/>
      <c r="AI91" s="57"/>
      <c r="AJ91" s="33"/>
    </row>
    <row r="92" spans="1:36" ht="18" customHeight="1">
      <c r="A92" s="40" t="s">
        <v>219</v>
      </c>
      <c r="B92" s="61">
        <f>B61-((((1/B65)+(B63/E65)+((E63*Q80)/(H65)))*(B77)))</f>
        <v>16.002958032908115</v>
      </c>
      <c r="C92" s="62"/>
      <c r="D92" s="60" t="s">
        <v>76</v>
      </c>
      <c r="E92" s="60"/>
      <c r="F92" s="12"/>
      <c r="G92" s="12"/>
      <c r="H92" s="12"/>
      <c r="I92" s="66" t="s">
        <v>218</v>
      </c>
      <c r="J92" s="66"/>
      <c r="K92" s="66"/>
      <c r="L92" s="66"/>
      <c r="M92" s="66"/>
      <c r="N92" s="66"/>
      <c r="O92" s="66"/>
      <c r="P92" s="66"/>
      <c r="Q92" s="66"/>
      <c r="R92" s="66"/>
      <c r="S92" s="32"/>
      <c r="T92" s="32"/>
      <c r="U92" s="32"/>
      <c r="X92" s="32"/>
      <c r="Y92" s="1"/>
      <c r="Z92" s="1"/>
      <c r="AA92" s="46"/>
      <c r="AB92" s="57" t="s">
        <v>141</v>
      </c>
      <c r="AC92" s="57"/>
      <c r="AD92" s="57"/>
      <c r="AE92" s="57"/>
      <c r="AF92" s="57"/>
      <c r="AG92" s="57"/>
      <c r="AH92" s="57"/>
      <c r="AI92" s="57"/>
      <c r="AJ92" s="33"/>
    </row>
    <row r="93" spans="1:36" ht="18">
      <c r="A93" s="40" t="s">
        <v>220</v>
      </c>
      <c r="B93" s="61">
        <f>B61-((((1/B65)+(B63/E65)+((E63*Q81)/(H65)))*(B77)))</f>
        <v>15.662784248474765</v>
      </c>
      <c r="C93" s="62"/>
      <c r="D93" s="60" t="s">
        <v>76</v>
      </c>
      <c r="E93" s="60"/>
      <c r="F93" s="12"/>
      <c r="G93" s="12"/>
      <c r="H93" s="12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32"/>
      <c r="T93" s="32"/>
      <c r="U93" s="32"/>
      <c r="V93" s="32"/>
      <c r="W93" s="32"/>
      <c r="X93" s="32"/>
      <c r="Y93" s="1"/>
      <c r="Z93" s="1"/>
      <c r="AA93" s="46"/>
      <c r="AB93" s="57" t="s">
        <v>142</v>
      </c>
      <c r="AC93" s="57"/>
      <c r="AD93" s="57"/>
      <c r="AE93" s="57"/>
      <c r="AF93" s="57"/>
      <c r="AG93" s="57"/>
      <c r="AH93" s="57"/>
      <c r="AI93" s="57"/>
      <c r="AJ93" s="33"/>
    </row>
    <row r="94" spans="1:36" ht="18">
      <c r="A94" s="40" t="s">
        <v>209</v>
      </c>
      <c r="B94" s="61">
        <f>B61-((((1/B65)+(B63/E65)+((E63*Q82)/(H65)))*(B77)))</f>
        <v>15.322610464041412</v>
      </c>
      <c r="C94" s="62"/>
      <c r="D94" s="60" t="s">
        <v>76</v>
      </c>
      <c r="E94" s="60"/>
      <c r="F94" s="12"/>
      <c r="G94" s="12"/>
      <c r="H94" s="12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32"/>
      <c r="T94" s="32"/>
      <c r="U94" s="32"/>
      <c r="V94" s="32"/>
      <c r="W94" s="32"/>
      <c r="X94" s="32"/>
      <c r="Y94" s="1"/>
      <c r="Z94" s="1"/>
      <c r="AA94" s="46"/>
      <c r="AB94" s="57" t="s">
        <v>143</v>
      </c>
      <c r="AC94" s="57"/>
      <c r="AD94" s="57"/>
      <c r="AE94" s="57"/>
      <c r="AF94" s="57"/>
      <c r="AG94" s="57"/>
      <c r="AH94" s="57"/>
      <c r="AI94" s="57"/>
      <c r="AJ94" s="33"/>
    </row>
    <row r="95" spans="1:36" ht="18">
      <c r="A95" s="40" t="s">
        <v>221</v>
      </c>
      <c r="B95" s="61">
        <f>B61-((((1/B65)+(B63/E65)+((E63*Q83)/(H65)))*(B77)))</f>
        <v>14.98243667960806</v>
      </c>
      <c r="C95" s="62"/>
      <c r="D95" s="60" t="s">
        <v>76</v>
      </c>
      <c r="E95" s="60"/>
      <c r="F95" s="12"/>
      <c r="G95" s="12"/>
      <c r="H95" s="12"/>
      <c r="S95" s="32"/>
      <c r="T95" s="32"/>
      <c r="U95" s="32"/>
      <c r="V95" s="32"/>
      <c r="W95" s="32"/>
      <c r="X95" s="32"/>
      <c r="Y95" s="1"/>
      <c r="Z95" s="1"/>
      <c r="AA95" s="46"/>
      <c r="AB95" s="53"/>
      <c r="AC95" s="53"/>
      <c r="AD95" s="53"/>
      <c r="AE95" s="53"/>
      <c r="AF95" s="53"/>
      <c r="AG95" s="53"/>
      <c r="AH95" s="53"/>
      <c r="AI95" s="53"/>
      <c r="AJ95" s="33"/>
    </row>
    <row r="96" spans="1:36" ht="18">
      <c r="A96" s="40" t="s">
        <v>222</v>
      </c>
      <c r="B96" s="61">
        <f>B61-((((1/B65)+(B63/E65)+((E63*Q85)/(H65)))*(B77)))</f>
        <v>14.302089110741358</v>
      </c>
      <c r="C96" s="62"/>
      <c r="D96" s="60" t="s">
        <v>76</v>
      </c>
      <c r="E96" s="60"/>
      <c r="F96" s="12"/>
      <c r="G96" s="12"/>
      <c r="H96" s="12"/>
      <c r="S96" s="32"/>
      <c r="T96" s="32"/>
      <c r="U96" s="32"/>
      <c r="V96" s="32"/>
      <c r="W96" s="32"/>
      <c r="X96" s="32"/>
      <c r="Y96" s="1"/>
      <c r="Z96" s="1"/>
      <c r="AA96" s="46"/>
      <c r="AB96" s="53"/>
      <c r="AC96" s="53"/>
      <c r="AD96" s="53"/>
      <c r="AE96" s="53"/>
      <c r="AF96" s="53"/>
      <c r="AG96" s="53"/>
      <c r="AH96" s="53"/>
      <c r="AI96" s="53"/>
      <c r="AJ96" s="33"/>
    </row>
    <row r="97" spans="1:36" ht="18">
      <c r="A97" s="40" t="s">
        <v>223</v>
      </c>
      <c r="B97" s="61">
        <f>B61-((((1/B65)+(B63/E65)+((E63*Q85)/(H65)))*(B77)))</f>
        <v>14.302089110741358</v>
      </c>
      <c r="C97" s="62"/>
      <c r="D97" s="60" t="s">
        <v>76</v>
      </c>
      <c r="E97" s="60"/>
      <c r="F97" s="12"/>
      <c r="G97" s="12"/>
      <c r="H97" s="12"/>
      <c r="S97" s="32"/>
      <c r="T97" s="32"/>
      <c r="U97" s="32"/>
      <c r="V97" s="32"/>
      <c r="W97" s="32"/>
      <c r="X97" s="32"/>
      <c r="Y97" s="1"/>
      <c r="Z97" s="1"/>
      <c r="AA97" s="46"/>
      <c r="AB97" s="53"/>
      <c r="AC97" s="53"/>
      <c r="AD97" s="53"/>
      <c r="AE97" s="53"/>
      <c r="AF97" s="53"/>
      <c r="AG97" s="53"/>
      <c r="AH97" s="53"/>
      <c r="AI97" s="53"/>
      <c r="AJ97" s="33"/>
    </row>
    <row r="98" spans="1:36" ht="18">
      <c r="A98" s="40" t="s">
        <v>224</v>
      </c>
      <c r="B98" s="61">
        <f>B61-((((1/B65)+(B63/E65)+((E63*Q86)/(H65)))*(B77)))</f>
        <v>13.961915326308006</v>
      </c>
      <c r="C98" s="62"/>
      <c r="D98" s="60" t="s">
        <v>76</v>
      </c>
      <c r="E98" s="60"/>
      <c r="F98" s="12"/>
      <c r="G98" s="12"/>
      <c r="H98" s="12"/>
      <c r="S98" s="32"/>
      <c r="T98" s="32"/>
      <c r="U98" s="32"/>
      <c r="V98" s="32"/>
      <c r="W98" s="32"/>
      <c r="X98" s="32"/>
      <c r="Y98" s="1"/>
      <c r="Z98" s="1"/>
      <c r="AA98" s="46"/>
      <c r="AB98" s="53"/>
      <c r="AC98" s="53"/>
      <c r="AD98" s="53"/>
      <c r="AE98" s="53"/>
      <c r="AF98" s="53"/>
      <c r="AG98" s="53"/>
      <c r="AH98" s="53"/>
      <c r="AI98" s="53"/>
      <c r="AJ98" s="33"/>
    </row>
    <row r="99" spans="1:36" ht="18">
      <c r="A99" s="40" t="s">
        <v>225</v>
      </c>
      <c r="B99" s="61">
        <f>B61-((((1/B65)+(B63/E65)+((E63*Q87)/(H65)))*(B77)))</f>
        <v>13.621741541874654</v>
      </c>
      <c r="C99" s="62"/>
      <c r="D99" s="60" t="s">
        <v>76</v>
      </c>
      <c r="E99" s="60"/>
      <c r="F99" s="12"/>
      <c r="G99" s="12"/>
      <c r="H99" s="12"/>
      <c r="S99" s="32"/>
      <c r="T99" s="32"/>
      <c r="U99" s="32"/>
      <c r="V99" s="32"/>
      <c r="W99" s="32"/>
      <c r="X99" s="32"/>
      <c r="Y99" s="1"/>
      <c r="Z99" s="1"/>
      <c r="AA99" s="46"/>
      <c r="AB99" s="53"/>
      <c r="AC99" s="53"/>
      <c r="AD99" s="53"/>
      <c r="AE99" s="53"/>
      <c r="AF99" s="53"/>
      <c r="AG99" s="53"/>
      <c r="AH99" s="53"/>
      <c r="AI99" s="53"/>
      <c r="AJ99" s="33"/>
    </row>
    <row r="100" spans="1:36" ht="18">
      <c r="A100" s="40" t="s">
        <v>226</v>
      </c>
      <c r="B100" s="61">
        <f>B61-((((1/B65)+(B63/E65)+((E63*Q88)/(H65)))*(B77)))</f>
        <v>13.281567757441302</v>
      </c>
      <c r="C100" s="62"/>
      <c r="D100" s="60" t="s">
        <v>76</v>
      </c>
      <c r="E100" s="60"/>
      <c r="F100" s="12"/>
      <c r="G100" s="12"/>
      <c r="H100" s="12"/>
      <c r="I100" s="10"/>
      <c r="J100" s="10"/>
      <c r="P100" s="32"/>
      <c r="Q100" s="31"/>
      <c r="R100" s="31"/>
      <c r="S100" s="32"/>
      <c r="T100" s="32"/>
      <c r="U100" s="32"/>
      <c r="V100" s="32"/>
      <c r="W100" s="32"/>
      <c r="X100" s="32"/>
      <c r="Y100" s="1"/>
      <c r="Z100" s="1"/>
      <c r="AA100" s="46"/>
      <c r="AB100" s="53"/>
      <c r="AC100" s="53"/>
      <c r="AD100" s="53"/>
      <c r="AE100" s="53"/>
      <c r="AF100" s="53"/>
      <c r="AG100" s="53"/>
      <c r="AH100" s="53"/>
      <c r="AI100" s="53"/>
      <c r="AJ100" s="33"/>
    </row>
    <row r="101" spans="1:36" ht="18">
      <c r="A101" s="42" t="s">
        <v>79</v>
      </c>
      <c r="B101" s="60">
        <f>B61-(((1/B65)+(B63/E65)+(E63/H65))*(B77))</f>
        <v>12.941393973007951</v>
      </c>
      <c r="C101" s="60"/>
      <c r="D101" s="60" t="s">
        <v>76</v>
      </c>
      <c r="E101" s="60"/>
      <c r="F101" s="12"/>
      <c r="G101" s="12"/>
      <c r="H101" s="12"/>
      <c r="P101" s="32"/>
      <c r="S101" s="32"/>
      <c r="T101" s="32"/>
      <c r="U101" s="32"/>
      <c r="V101" s="32"/>
      <c r="W101" s="32"/>
      <c r="X101" s="32"/>
      <c r="Y101" s="1"/>
      <c r="Z101" s="1"/>
      <c r="AA101" s="46"/>
      <c r="AB101" s="53"/>
      <c r="AC101" s="53"/>
      <c r="AD101" s="53"/>
      <c r="AE101" s="53"/>
      <c r="AF101" s="53"/>
      <c r="AG101" s="53"/>
      <c r="AH101" s="53"/>
      <c r="AI101" s="53"/>
      <c r="AJ101" s="33"/>
    </row>
    <row r="102" spans="1:36" ht="18">
      <c r="A102" s="28" t="s">
        <v>144</v>
      </c>
      <c r="B102" s="61">
        <f>B61-(((1/B65)+(B63/E65)+(E63/H65)+((H63*Q80)/K65))*(B77))</f>
        <v>11.75078572749122</v>
      </c>
      <c r="C102" s="62"/>
      <c r="D102" s="60" t="s">
        <v>76</v>
      </c>
      <c r="E102" s="60"/>
      <c r="F102" s="12"/>
      <c r="G102" s="12"/>
      <c r="H102" s="12"/>
      <c r="P102" s="32"/>
      <c r="S102" s="32"/>
      <c r="T102" s="32"/>
      <c r="U102" s="32"/>
      <c r="V102" s="32"/>
      <c r="W102" s="32"/>
      <c r="X102" s="32"/>
      <c r="Y102" s="1"/>
      <c r="Z102" s="1"/>
      <c r="AA102" s="46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ht="18">
      <c r="A103" s="28" t="s">
        <v>146</v>
      </c>
      <c r="B103" s="61">
        <f>B61-(((1/B65)+(B63/E65)+(E63/H65)+((H63*Q81)/K65))*(B77))</f>
        <v>10.560177481974486</v>
      </c>
      <c r="C103" s="62"/>
      <c r="D103" s="60" t="s">
        <v>76</v>
      </c>
      <c r="E103" s="60"/>
      <c r="F103" s="12"/>
      <c r="G103" s="12"/>
      <c r="H103" s="12"/>
      <c r="P103" s="32"/>
      <c r="S103" s="32"/>
      <c r="T103" s="32"/>
      <c r="U103" s="32"/>
      <c r="V103" s="32"/>
      <c r="W103" s="32"/>
      <c r="X103" s="32"/>
      <c r="Y103" s="1"/>
      <c r="Z103" s="1"/>
      <c r="AA103" s="46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ht="18">
      <c r="A104" s="28" t="s">
        <v>147</v>
      </c>
      <c r="B104" s="61">
        <f>B61-(((1/B65)+(B63/E65)+(E63/H65)+((H63*Q82)/K65))*(B77))</f>
        <v>9.3695692364577567</v>
      </c>
      <c r="C104" s="62"/>
      <c r="D104" s="60" t="s">
        <v>76</v>
      </c>
      <c r="E104" s="60"/>
      <c r="F104" s="12"/>
      <c r="G104" s="12"/>
      <c r="H104" s="12"/>
      <c r="P104" s="32"/>
      <c r="S104" s="32"/>
      <c r="T104" s="32"/>
      <c r="U104" s="32"/>
      <c r="V104" s="32"/>
      <c r="W104" s="32"/>
      <c r="X104" s="32"/>
      <c r="Y104" s="1"/>
      <c r="Z104" s="1"/>
      <c r="AA104" s="46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ht="18">
      <c r="A105" s="28" t="s">
        <v>148</v>
      </c>
      <c r="B105" s="61">
        <f>B61-(((1/B65)+(B63/E65)+(E63/H65)+((H63*Q83)/K65))*(B77))</f>
        <v>8.1789609909410252</v>
      </c>
      <c r="C105" s="62"/>
      <c r="D105" s="60" t="s">
        <v>76</v>
      </c>
      <c r="E105" s="60"/>
      <c r="F105" s="12"/>
      <c r="G105" s="12"/>
      <c r="H105" s="12"/>
      <c r="P105" s="32"/>
      <c r="S105" s="32"/>
      <c r="T105" s="32"/>
      <c r="U105" s="32"/>
      <c r="V105" s="32"/>
      <c r="W105" s="32"/>
      <c r="X105" s="32"/>
      <c r="Y105" s="1"/>
      <c r="Z105" s="1"/>
      <c r="AA105" s="46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1:36" ht="18">
      <c r="A106" s="28" t="s">
        <v>149</v>
      </c>
      <c r="B106" s="61">
        <f>B61-(((1/B65)+(B63/E65)+(E63/H65)+((H63*Q84)/K65))*(B77))</f>
        <v>6.988352745424292</v>
      </c>
      <c r="C106" s="62"/>
      <c r="D106" s="60" t="s">
        <v>76</v>
      </c>
      <c r="E106" s="60"/>
      <c r="F106" s="12"/>
      <c r="G106" s="12"/>
      <c r="H106" s="12"/>
      <c r="P106" s="32"/>
      <c r="S106" s="32"/>
      <c r="T106" s="32"/>
      <c r="U106" s="32"/>
      <c r="V106" s="32"/>
      <c r="W106" s="32"/>
      <c r="X106" s="32"/>
      <c r="Y106" s="1"/>
      <c r="Z106" s="1"/>
      <c r="AA106" s="46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1:36" ht="18">
      <c r="A107" s="28" t="s">
        <v>150</v>
      </c>
      <c r="B107" s="61">
        <f>B61-(((1/B65)+(B63/E65)+(E63/H65)+((H63*Q85)/K65))*(B77))</f>
        <v>5.7977444999075622</v>
      </c>
      <c r="C107" s="62"/>
      <c r="D107" s="60" t="s">
        <v>76</v>
      </c>
      <c r="E107" s="60"/>
      <c r="F107" s="12"/>
      <c r="G107" s="12"/>
      <c r="H107" s="12"/>
      <c r="P107" s="32"/>
      <c r="S107" s="32"/>
      <c r="T107" s="32"/>
      <c r="U107" s="32"/>
      <c r="V107" s="32"/>
      <c r="W107" s="32"/>
      <c r="X107" s="32"/>
      <c r="Y107" s="1"/>
      <c r="Z107" s="1"/>
      <c r="AA107" s="46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1:36" ht="18">
      <c r="A108" s="28" t="s">
        <v>151</v>
      </c>
      <c r="B108" s="61">
        <f>B61-(((1/B65)+(B63/E65)+(E63/H65)+((H63*Q86)/K65))*(B77))</f>
        <v>4.6071362543908325</v>
      </c>
      <c r="C108" s="62"/>
      <c r="D108" s="60" t="s">
        <v>76</v>
      </c>
      <c r="E108" s="60"/>
      <c r="F108" s="12"/>
      <c r="G108" s="12"/>
      <c r="H108" s="12"/>
      <c r="P108" s="32"/>
      <c r="S108" s="32"/>
      <c r="T108" s="32"/>
      <c r="U108" s="32"/>
      <c r="V108" s="32"/>
      <c r="W108" s="32"/>
      <c r="X108" s="32"/>
      <c r="Y108" s="1"/>
      <c r="Z108" s="1"/>
      <c r="AA108" s="46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1:36" ht="18">
      <c r="A109" s="28" t="s">
        <v>152</v>
      </c>
      <c r="B109" s="61">
        <f>B61-(((1/B65)+(B63/E65)+(E63/H65)+((H63*Q87)/K65))*(B77))</f>
        <v>3.4165280088740992</v>
      </c>
      <c r="C109" s="62"/>
      <c r="D109" s="60" t="s">
        <v>76</v>
      </c>
      <c r="E109" s="60"/>
      <c r="F109" s="12"/>
      <c r="G109" s="12"/>
      <c r="H109" s="12"/>
      <c r="I109" s="12"/>
      <c r="J109" s="12"/>
      <c r="K109" s="12"/>
      <c r="L109" s="12"/>
      <c r="M109" s="1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1"/>
      <c r="Z109" s="1"/>
      <c r="AA109" s="46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1:36" ht="18">
      <c r="A110" s="28" t="s">
        <v>145</v>
      </c>
      <c r="B110" s="61">
        <f>B61-(((1/B65)+(B63/E65)+(E63/H65)+((H63*Q88)/K65))*(B77))</f>
        <v>2.2259197633573677</v>
      </c>
      <c r="C110" s="62"/>
      <c r="D110" s="60" t="s">
        <v>76</v>
      </c>
      <c r="E110" s="60"/>
      <c r="F110" s="12"/>
      <c r="G110" s="12"/>
      <c r="H110" s="12"/>
      <c r="I110" s="12"/>
      <c r="J110" s="12"/>
      <c r="K110" s="12"/>
      <c r="L110" s="12"/>
      <c r="M110" s="1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1"/>
      <c r="Z110" s="1"/>
      <c r="AA110" s="46"/>
      <c r="AB110" s="4"/>
      <c r="AC110" s="4"/>
      <c r="AD110" s="4"/>
      <c r="AE110" s="4"/>
      <c r="AF110" s="4"/>
      <c r="AG110" s="4"/>
      <c r="AH110" s="4"/>
      <c r="AI110" s="4"/>
      <c r="AJ110" s="33"/>
    </row>
    <row r="111" spans="1:36" ht="18">
      <c r="A111" s="42" t="s">
        <v>269</v>
      </c>
      <c r="B111" s="60">
        <f>B61-(((1/B65)+(B63/E65)+(E63/H65)+(H63/K65))*(B77))</f>
        <v>1.0353115178406362</v>
      </c>
      <c r="C111" s="60"/>
      <c r="D111" s="60" t="s">
        <v>76</v>
      </c>
      <c r="E111" s="60"/>
      <c r="F111" s="12"/>
      <c r="G111" s="12"/>
      <c r="H111" s="12"/>
      <c r="I111" s="12"/>
      <c r="J111" s="12"/>
      <c r="K111" s="12"/>
      <c r="L111" s="12"/>
      <c r="M111" s="1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1"/>
      <c r="Z111" s="1"/>
      <c r="AA111" s="46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ht="18">
      <c r="A112" s="43" t="s">
        <v>116</v>
      </c>
      <c r="B112" s="60">
        <f>E61</f>
        <v>0</v>
      </c>
      <c r="C112" s="60"/>
      <c r="D112" s="60" t="s">
        <v>86</v>
      </c>
      <c r="E112" s="60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7"/>
      <c r="T112" s="7"/>
      <c r="U112" s="7"/>
      <c r="V112" s="7"/>
      <c r="W112" s="7"/>
      <c r="X112" s="7"/>
      <c r="Y112" s="7"/>
      <c r="Z112" s="7"/>
      <c r="AA112" s="4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1:36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R113" s="12"/>
      <c r="S113" s="1"/>
      <c r="T113" s="1"/>
      <c r="U113" s="1"/>
      <c r="V113" s="1"/>
      <c r="W113" s="7"/>
      <c r="X113" s="7"/>
      <c r="Y113" s="7"/>
      <c r="Z113" s="7"/>
      <c r="AA113" s="4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:36" ht="16.5">
      <c r="A114" s="17"/>
      <c r="B114" s="17"/>
      <c r="C114" s="17"/>
      <c r="D114" s="17"/>
      <c r="E114" s="17"/>
      <c r="F114" s="17"/>
      <c r="G114" s="17"/>
      <c r="H114" s="12"/>
      <c r="I114" s="12"/>
      <c r="J114" s="33"/>
      <c r="K114" s="33"/>
      <c r="L114" s="33"/>
      <c r="M114" s="33"/>
      <c r="N114" s="33"/>
      <c r="R114" s="12"/>
      <c r="S114" s="1"/>
      <c r="T114" s="1"/>
      <c r="U114" s="1"/>
      <c r="V114" s="1"/>
      <c r="W114" s="7"/>
      <c r="X114" s="7"/>
      <c r="Y114" s="7"/>
      <c r="Z114" s="7"/>
      <c r="AA114" s="4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:36" ht="16.5">
      <c r="A115" s="17"/>
      <c r="B115" s="17"/>
      <c r="C115" s="17"/>
      <c r="D115" s="17"/>
      <c r="E115" s="17"/>
      <c r="F115" s="17"/>
      <c r="G115" s="17"/>
      <c r="H115" s="12"/>
      <c r="I115" s="12"/>
      <c r="J115" s="15"/>
      <c r="K115" s="15"/>
      <c r="L115" s="15"/>
      <c r="M115" s="15"/>
      <c r="N115" s="12"/>
      <c r="O115" s="12"/>
      <c r="P115" s="12"/>
      <c r="Q115" s="12"/>
      <c r="R115" s="12"/>
      <c r="S115" s="1"/>
      <c r="T115" s="1"/>
      <c r="U115" s="1"/>
      <c r="V115" s="1"/>
      <c r="W115" s="7"/>
      <c r="X115" s="7"/>
      <c r="Y115" s="7"/>
      <c r="Z115" s="7"/>
      <c r="AA115" s="4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36" ht="16.5">
      <c r="A116" s="73" t="s">
        <v>10</v>
      </c>
      <c r="B116" s="73"/>
      <c r="C116" s="73"/>
      <c r="D116" s="73"/>
      <c r="E116" s="73"/>
      <c r="F116" s="17"/>
      <c r="G116" s="17"/>
      <c r="H116" s="74" t="s">
        <v>10</v>
      </c>
      <c r="I116" s="74"/>
      <c r="J116" s="74"/>
      <c r="K116" s="74"/>
      <c r="L116" s="74"/>
      <c r="M116" s="12"/>
      <c r="N116" s="12"/>
      <c r="O116" s="75" t="s">
        <v>10</v>
      </c>
      <c r="P116" s="75"/>
      <c r="Q116" s="75"/>
      <c r="R116" s="75"/>
      <c r="S116" s="75"/>
      <c r="T116" s="1"/>
      <c r="U116" s="1"/>
      <c r="V116" s="1"/>
      <c r="W116" s="7"/>
      <c r="X116" s="7"/>
      <c r="Y116" s="7"/>
      <c r="Z116" s="7"/>
      <c r="AA116" s="4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ht="21.75" customHeight="1">
      <c r="A117" s="80" t="s">
        <v>90</v>
      </c>
      <c r="B117" s="80"/>
      <c r="C117" s="80"/>
      <c r="D117" s="80"/>
      <c r="E117" s="80"/>
      <c r="F117" s="17"/>
      <c r="G117" s="17"/>
      <c r="H117" s="80" t="s">
        <v>130</v>
      </c>
      <c r="I117" s="80"/>
      <c r="J117" s="80"/>
      <c r="K117" s="80"/>
      <c r="L117" s="80"/>
      <c r="M117" s="12"/>
      <c r="N117" s="12"/>
      <c r="O117" s="79" t="s">
        <v>131</v>
      </c>
      <c r="P117" s="79"/>
      <c r="Q117" s="79"/>
      <c r="R117" s="79"/>
      <c r="S117" s="79"/>
      <c r="T117" s="1"/>
      <c r="U117" s="1"/>
      <c r="V117" s="1"/>
      <c r="W117" s="7"/>
      <c r="X117" s="7"/>
      <c r="Y117" s="7"/>
      <c r="Z117" s="7"/>
      <c r="AA117" s="4"/>
      <c r="AB117" s="4"/>
      <c r="AC117" s="9"/>
      <c r="AD117" s="9"/>
      <c r="AE117" s="9"/>
      <c r="AF117" s="9"/>
      <c r="AG117" s="33"/>
      <c r="AH117" s="33"/>
      <c r="AI117" s="33"/>
      <c r="AJ117" s="33"/>
    </row>
    <row r="118" spans="1:36" ht="18">
      <c r="A118" s="43" t="s">
        <v>119</v>
      </c>
      <c r="B118" s="60">
        <f>(((610.5)*(EXP(((17.269*B61)/(237.3+B61))))))</f>
        <v>2336.9511438023419</v>
      </c>
      <c r="C118" s="60"/>
      <c r="D118" s="60" t="s">
        <v>89</v>
      </c>
      <c r="E118" s="60"/>
      <c r="F118" s="17"/>
      <c r="G118" s="17"/>
      <c r="H118" s="43" t="s">
        <v>119</v>
      </c>
      <c r="I118" s="60">
        <f>((((610.5)*EXP((((21.875*B61)/(265.5+B61)))))))</f>
        <v>2826.1696492527549</v>
      </c>
      <c r="J118" s="60"/>
      <c r="K118" s="60" t="s">
        <v>89</v>
      </c>
      <c r="L118" s="60"/>
      <c r="M118" s="12"/>
      <c r="N118" s="12"/>
      <c r="O118" s="43" t="s">
        <v>119</v>
      </c>
      <c r="P118" s="77">
        <f>IF(B61&gt;=0,B118,I118)</f>
        <v>2336.9511438023419</v>
      </c>
      <c r="Q118" s="77"/>
      <c r="R118" s="60" t="s">
        <v>89</v>
      </c>
      <c r="S118" s="60"/>
      <c r="T118" s="1"/>
      <c r="U118" s="1"/>
      <c r="V118" s="1"/>
      <c r="W118" s="7"/>
      <c r="X118" s="7"/>
      <c r="Y118" s="7"/>
      <c r="Z118" s="7"/>
      <c r="AA118" s="4"/>
      <c r="AB118" s="4"/>
      <c r="AC118" s="9"/>
      <c r="AD118" s="9"/>
      <c r="AE118" s="9"/>
      <c r="AF118" s="9"/>
      <c r="AG118" s="33"/>
      <c r="AH118" s="33"/>
      <c r="AI118" s="33"/>
      <c r="AJ118" s="33"/>
    </row>
    <row r="119" spans="1:36" ht="18">
      <c r="A119" s="42" t="s">
        <v>88</v>
      </c>
      <c r="B119" s="60">
        <f>(((610.5)*(EXP(((17.269*B81)/(237.3+B81))))))</f>
        <v>1939.5314676279763</v>
      </c>
      <c r="C119" s="60"/>
      <c r="D119" s="60" t="s">
        <v>89</v>
      </c>
      <c r="E119" s="60"/>
      <c r="F119" s="17"/>
      <c r="G119" s="17"/>
      <c r="H119" s="42" t="s">
        <v>88</v>
      </c>
      <c r="I119" s="60">
        <f t="shared" ref="I119:I128" si="0">((((610.5)*EXP((((21.875*B81)/(265.5+B81)))))))</f>
        <v>2280.9755873052304</v>
      </c>
      <c r="J119" s="60"/>
      <c r="K119" s="60" t="s">
        <v>89</v>
      </c>
      <c r="L119" s="60"/>
      <c r="M119" s="12"/>
      <c r="N119" s="12"/>
      <c r="O119" s="42" t="s">
        <v>88</v>
      </c>
      <c r="P119" s="70">
        <f>IF(B81&gt;=0,B119,I119)</f>
        <v>1939.5314676279763</v>
      </c>
      <c r="Q119" s="70"/>
      <c r="R119" s="60" t="s">
        <v>89</v>
      </c>
      <c r="S119" s="60"/>
      <c r="T119" s="1"/>
      <c r="U119" s="1"/>
      <c r="V119" s="1"/>
      <c r="W119" s="7"/>
      <c r="X119" s="7"/>
      <c r="Y119" s="7"/>
      <c r="Z119" s="7"/>
      <c r="AA119" s="4"/>
      <c r="AB119" s="4"/>
      <c r="AC119" s="9"/>
      <c r="AD119" s="9"/>
      <c r="AE119" s="9"/>
      <c r="AF119" s="9"/>
      <c r="AG119" s="33"/>
      <c r="AH119" s="33"/>
      <c r="AI119" s="33"/>
      <c r="AJ119" s="33"/>
    </row>
    <row r="120" spans="1:36" ht="18">
      <c r="A120" s="40" t="s">
        <v>189</v>
      </c>
      <c r="B120" s="61">
        <f>(((610.5)*(EXP(((17.269*B82)/(237.3+B82))))))</f>
        <v>1931.1869745258102</v>
      </c>
      <c r="C120" s="62"/>
      <c r="D120" s="60" t="s">
        <v>89</v>
      </c>
      <c r="E120" s="60"/>
      <c r="F120" s="17"/>
      <c r="G120" s="17"/>
      <c r="H120" s="40" t="s">
        <v>189</v>
      </c>
      <c r="I120" s="61">
        <f t="shared" si="0"/>
        <v>2269.70919684519</v>
      </c>
      <c r="J120" s="62"/>
      <c r="K120" s="60" t="s">
        <v>89</v>
      </c>
      <c r="L120" s="60"/>
      <c r="M120" s="12"/>
      <c r="N120" s="12"/>
      <c r="O120" s="40" t="s">
        <v>189</v>
      </c>
      <c r="P120" s="68">
        <f>IF(B82&gt;=0,B120,I120)</f>
        <v>1931.1869745258102</v>
      </c>
      <c r="Q120" s="69"/>
      <c r="R120" s="60" t="s">
        <v>89</v>
      </c>
      <c r="S120" s="60"/>
      <c r="T120" s="1"/>
      <c r="U120" s="1"/>
      <c r="V120" s="1"/>
      <c r="W120" s="7"/>
      <c r="X120" s="7"/>
      <c r="Y120" s="7"/>
      <c r="Z120" s="7"/>
      <c r="AA120" s="4"/>
      <c r="AB120" s="4"/>
      <c r="AC120" s="9"/>
      <c r="AD120" s="9"/>
      <c r="AE120" s="9"/>
      <c r="AF120" s="9"/>
      <c r="AG120" s="33"/>
      <c r="AH120" s="33"/>
      <c r="AI120" s="33"/>
      <c r="AJ120" s="33"/>
    </row>
    <row r="121" spans="1:36" ht="18" customHeight="1">
      <c r="A121" s="40" t="s">
        <v>190</v>
      </c>
      <c r="B121" s="61">
        <f>(((610.5)*(EXP(((17.269*B83)/(237.3+B83))))))</f>
        <v>1922.8739440371871</v>
      </c>
      <c r="C121" s="62"/>
      <c r="D121" s="60" t="s">
        <v>89</v>
      </c>
      <c r="E121" s="60"/>
      <c r="F121" s="17"/>
      <c r="G121" s="17"/>
      <c r="H121" s="40" t="s">
        <v>190</v>
      </c>
      <c r="I121" s="61">
        <f t="shared" si="0"/>
        <v>2258.4930657359673</v>
      </c>
      <c r="J121" s="62"/>
      <c r="K121" s="60" t="s">
        <v>89</v>
      </c>
      <c r="L121" s="60"/>
      <c r="M121" s="12"/>
      <c r="N121" s="12"/>
      <c r="O121" s="40" t="s">
        <v>190</v>
      </c>
      <c r="P121" s="68">
        <f>IF(B83&gt;=0,B121,I121)</f>
        <v>1922.8739440371871</v>
      </c>
      <c r="Q121" s="69"/>
      <c r="R121" s="60" t="s">
        <v>89</v>
      </c>
      <c r="S121" s="60"/>
      <c r="T121" s="1"/>
      <c r="U121" s="1"/>
      <c r="V121" s="1"/>
      <c r="W121" s="7"/>
      <c r="X121" s="7"/>
      <c r="Y121" s="7"/>
      <c r="Z121" s="7"/>
      <c r="AA121" s="4"/>
      <c r="AB121" s="4"/>
      <c r="AC121" s="9"/>
      <c r="AD121" s="9"/>
      <c r="AE121" s="9"/>
      <c r="AF121" s="9"/>
      <c r="AG121" s="33"/>
      <c r="AH121" s="33"/>
      <c r="AI121" s="33"/>
      <c r="AJ121" s="33"/>
    </row>
    <row r="122" spans="1:36" ht="18" customHeight="1">
      <c r="A122" s="40" t="s">
        <v>191</v>
      </c>
      <c r="B122" s="61">
        <f>(((610.5)*(EXP(((17.269*B84)/(237.3+B84))))))</f>
        <v>1914.5922754693888</v>
      </c>
      <c r="C122" s="62"/>
      <c r="D122" s="60" t="s">
        <v>89</v>
      </c>
      <c r="E122" s="60"/>
      <c r="F122" s="17"/>
      <c r="G122" s="17"/>
      <c r="H122" s="40" t="s">
        <v>191</v>
      </c>
      <c r="I122" s="61">
        <f t="shared" si="0"/>
        <v>2247.3269951256088</v>
      </c>
      <c r="J122" s="62"/>
      <c r="K122" s="60" t="s">
        <v>89</v>
      </c>
      <c r="L122" s="60"/>
      <c r="M122" s="12"/>
      <c r="N122" s="12"/>
      <c r="O122" s="40" t="s">
        <v>191</v>
      </c>
      <c r="P122" s="68">
        <f>IF(B84&gt;=0,B122,I122)</f>
        <v>1914.5922754693888</v>
      </c>
      <c r="Q122" s="69"/>
      <c r="R122" s="60" t="s">
        <v>89</v>
      </c>
      <c r="S122" s="60"/>
      <c r="T122" s="1"/>
      <c r="U122" s="1"/>
      <c r="V122" s="1"/>
      <c r="W122" s="7"/>
      <c r="X122" s="7"/>
      <c r="Y122" s="7"/>
      <c r="Z122" s="7"/>
      <c r="AA122" s="4"/>
      <c r="AB122" s="4"/>
      <c r="AC122" s="9"/>
      <c r="AD122" s="9"/>
      <c r="AE122" s="9"/>
      <c r="AF122" s="9"/>
      <c r="AG122" s="33"/>
      <c r="AH122" s="33"/>
      <c r="AI122" s="33"/>
      <c r="AJ122" s="33"/>
    </row>
    <row r="123" spans="1:36" ht="18" customHeight="1">
      <c r="A123" s="40" t="s">
        <v>192</v>
      </c>
      <c r="B123" s="61">
        <f>(((610.5)*(EXP(((17.269*B85)/(237.3+B85))))))</f>
        <v>1906.3418683886564</v>
      </c>
      <c r="C123" s="62"/>
      <c r="D123" s="60" t="s">
        <v>89</v>
      </c>
      <c r="E123" s="60"/>
      <c r="F123" s="17"/>
      <c r="G123" s="17"/>
      <c r="H123" s="40" t="s">
        <v>192</v>
      </c>
      <c r="I123" s="61">
        <f t="shared" si="0"/>
        <v>2236.2107868414082</v>
      </c>
      <c r="J123" s="62"/>
      <c r="K123" s="60" t="s">
        <v>89</v>
      </c>
      <c r="L123" s="60"/>
      <c r="M123" s="12"/>
      <c r="N123" s="12"/>
      <c r="O123" s="40" t="s">
        <v>192</v>
      </c>
      <c r="P123" s="68">
        <f>IF(B85&gt;=0,B123,I123)</f>
        <v>1906.3418683886564</v>
      </c>
      <c r="Q123" s="69"/>
      <c r="R123" s="60" t="s">
        <v>89</v>
      </c>
      <c r="S123" s="60"/>
      <c r="T123" s="1"/>
      <c r="U123" s="1"/>
      <c r="V123" s="1"/>
      <c r="W123" s="7"/>
      <c r="X123" s="7"/>
      <c r="Y123" s="7"/>
      <c r="Z123" s="7"/>
      <c r="AA123" s="7"/>
      <c r="AB123" s="7"/>
      <c r="AC123" s="5"/>
      <c r="AD123" s="5"/>
      <c r="AE123" s="5"/>
      <c r="AF123" s="5"/>
    </row>
    <row r="124" spans="1:36" ht="17.25" customHeight="1">
      <c r="A124" s="40" t="s">
        <v>193</v>
      </c>
      <c r="B124" s="60">
        <f>(((610.5)*(EXP(((17.269*B86)/(237.3+B86))))))</f>
        <v>1898.1226226197127</v>
      </c>
      <c r="C124" s="60"/>
      <c r="D124" s="60" t="s">
        <v>89</v>
      </c>
      <c r="E124" s="60"/>
      <c r="F124" s="17"/>
      <c r="G124" s="17"/>
      <c r="H124" s="40" t="s">
        <v>193</v>
      </c>
      <c r="I124" s="60">
        <f t="shared" si="0"/>
        <v>2225.1442433879979</v>
      </c>
      <c r="J124" s="60"/>
      <c r="K124" s="60" t="s">
        <v>89</v>
      </c>
      <c r="L124" s="60"/>
      <c r="M124" s="12"/>
      <c r="N124" s="12"/>
      <c r="O124" s="40" t="s">
        <v>193</v>
      </c>
      <c r="P124" s="70">
        <f>IF(B86&gt;=0,B124,I124)</f>
        <v>1898.1226226197127</v>
      </c>
      <c r="Q124" s="70"/>
      <c r="R124" s="60" t="s">
        <v>89</v>
      </c>
      <c r="S124" s="60"/>
      <c r="T124" s="1"/>
      <c r="U124" s="1"/>
      <c r="V124" s="1"/>
      <c r="W124" s="7"/>
      <c r="X124" s="7"/>
      <c r="Y124" s="7"/>
      <c r="Z124" s="7"/>
      <c r="AA124" s="7"/>
      <c r="AB124" s="7"/>
      <c r="AC124" s="5"/>
      <c r="AD124" s="5"/>
      <c r="AE124" s="5"/>
      <c r="AF124" s="5"/>
    </row>
    <row r="125" spans="1:36" ht="17.25" customHeight="1">
      <c r="A125" s="40" t="s">
        <v>194</v>
      </c>
      <c r="B125" s="60">
        <f>(((610.5)*(EXP(((17.269*B87)/(237.3+B87))))))</f>
        <v>1889.9344382452891</v>
      </c>
      <c r="C125" s="60"/>
      <c r="D125" s="60" t="s">
        <v>89</v>
      </c>
      <c r="E125" s="60"/>
      <c r="F125" s="17"/>
      <c r="G125" s="17"/>
      <c r="H125" s="40" t="s">
        <v>194</v>
      </c>
      <c r="I125" s="60">
        <f t="shared" si="0"/>
        <v>2214.1271679454326</v>
      </c>
      <c r="J125" s="60"/>
      <c r="K125" s="60" t="s">
        <v>89</v>
      </c>
      <c r="L125" s="60"/>
      <c r="M125" s="12"/>
      <c r="N125" s="12"/>
      <c r="O125" s="40" t="s">
        <v>194</v>
      </c>
      <c r="P125" s="70">
        <f>IF(B87&gt;=0,B125,I125)</f>
        <v>1889.9344382452891</v>
      </c>
      <c r="Q125" s="70"/>
      <c r="R125" s="60" t="s">
        <v>89</v>
      </c>
      <c r="S125" s="60"/>
      <c r="T125" s="1"/>
      <c r="U125" s="1"/>
      <c r="V125" s="1"/>
      <c r="W125" s="7"/>
      <c r="X125" s="7"/>
      <c r="Y125" s="7"/>
      <c r="Z125" s="7"/>
      <c r="AA125" s="7"/>
      <c r="AB125" s="7"/>
      <c r="AC125" s="5"/>
      <c r="AD125" s="5"/>
      <c r="AE125" s="5"/>
      <c r="AF125" s="5"/>
    </row>
    <row r="126" spans="1:36" ht="17.25" customHeight="1">
      <c r="A126" s="40" t="s">
        <v>195</v>
      </c>
      <c r="B126" s="61">
        <f>(((610.5)*(EXP(((17.269*B88)/(237.3+B88))))))</f>
        <v>1881.7772156056442</v>
      </c>
      <c r="C126" s="62"/>
      <c r="D126" s="60" t="s">
        <v>89</v>
      </c>
      <c r="E126" s="60"/>
      <c r="F126" s="17"/>
      <c r="G126" s="17"/>
      <c r="H126" s="40" t="s">
        <v>195</v>
      </c>
      <c r="I126" s="61">
        <f t="shared" si="0"/>
        <v>2203.1593643672823</v>
      </c>
      <c r="J126" s="62"/>
      <c r="K126" s="60" t="s">
        <v>89</v>
      </c>
      <c r="L126" s="60"/>
      <c r="M126" s="12"/>
      <c r="N126" s="12"/>
      <c r="O126" s="40" t="s">
        <v>195</v>
      </c>
      <c r="P126" s="68">
        <f>IF(B88&gt;=0,B126,I126)</f>
        <v>1881.7772156056442</v>
      </c>
      <c r="Q126" s="69"/>
      <c r="R126" s="60" t="s">
        <v>89</v>
      </c>
      <c r="S126" s="60"/>
      <c r="T126" s="1"/>
      <c r="U126" s="1"/>
      <c r="V126" s="1"/>
      <c r="W126" s="7"/>
      <c r="X126" s="7"/>
      <c r="Y126" s="7"/>
      <c r="Z126" s="7"/>
      <c r="AA126" s="7"/>
      <c r="AB126" s="7"/>
      <c r="AC126" s="5"/>
      <c r="AD126" s="5"/>
      <c r="AE126" s="5"/>
      <c r="AF126" s="5"/>
    </row>
    <row r="127" spans="1:36" ht="17.25" customHeight="1">
      <c r="A127" s="40" t="s">
        <v>196</v>
      </c>
      <c r="B127" s="61">
        <f>(((610.5)*(EXP(((17.269*B89)/(237.3+B89))))))</f>
        <v>1873.6508552980954</v>
      </c>
      <c r="C127" s="62"/>
      <c r="D127" s="60" t="s">
        <v>89</v>
      </c>
      <c r="E127" s="60"/>
      <c r="F127" s="17"/>
      <c r="G127" s="17"/>
      <c r="H127" s="40" t="s">
        <v>196</v>
      </c>
      <c r="I127" s="61">
        <f t="shared" si="0"/>
        <v>2192.2406371787256</v>
      </c>
      <c r="J127" s="62"/>
      <c r="K127" s="60" t="s">
        <v>89</v>
      </c>
      <c r="L127" s="60"/>
      <c r="M127" s="12"/>
      <c r="N127" s="12"/>
      <c r="O127" s="40" t="s">
        <v>196</v>
      </c>
      <c r="P127" s="68">
        <f>IF(B89&gt;=0,B127,I127)</f>
        <v>1873.6508552980954</v>
      </c>
      <c r="Q127" s="69"/>
      <c r="R127" s="60" t="s">
        <v>89</v>
      </c>
      <c r="S127" s="60"/>
      <c r="T127" s="1"/>
      <c r="U127" s="1"/>
      <c r="V127" s="1"/>
      <c r="W127" s="7"/>
      <c r="X127" s="7"/>
      <c r="Y127" s="7"/>
      <c r="Z127" s="7"/>
      <c r="AA127" s="7"/>
      <c r="AB127" s="7"/>
      <c r="AC127" s="5"/>
      <c r="AD127" s="5"/>
      <c r="AE127" s="5"/>
      <c r="AF127" s="5"/>
    </row>
    <row r="128" spans="1:36" ht="20.25" customHeight="1">
      <c r="A128" s="40" t="s">
        <v>197</v>
      </c>
      <c r="B128" s="61">
        <f>(((610.5)*(EXP(((17.269*B90)/(237.3+B90))))))</f>
        <v>1865.5552581765403</v>
      </c>
      <c r="C128" s="62"/>
      <c r="D128" s="60" t="s">
        <v>89</v>
      </c>
      <c r="E128" s="60"/>
      <c r="F128" s="17"/>
      <c r="G128" s="17"/>
      <c r="H128" s="40" t="s">
        <v>197</v>
      </c>
      <c r="I128" s="61">
        <f t="shared" si="0"/>
        <v>2181.3707915746577</v>
      </c>
      <c r="J128" s="62"/>
      <c r="K128" s="60" t="s">
        <v>89</v>
      </c>
      <c r="L128" s="60"/>
      <c r="M128" s="12"/>
      <c r="N128" s="12"/>
      <c r="O128" s="40" t="s">
        <v>197</v>
      </c>
      <c r="P128" s="68">
        <f>IF(B90&gt;=0,B128,I128)</f>
        <v>1865.5552581765403</v>
      </c>
      <c r="Q128" s="69"/>
      <c r="R128" s="60" t="s">
        <v>89</v>
      </c>
      <c r="S128" s="60"/>
      <c r="T128" s="1"/>
      <c r="U128" s="1"/>
      <c r="V128" s="1"/>
      <c r="W128" s="7"/>
      <c r="X128" s="7"/>
      <c r="Y128" s="7"/>
      <c r="Z128" s="7"/>
      <c r="AA128" s="7"/>
      <c r="AB128" s="7"/>
      <c r="AC128" s="5"/>
      <c r="AD128" s="5"/>
      <c r="AE128" s="5"/>
      <c r="AF128" s="5"/>
    </row>
    <row r="129" spans="1:32" ht="18">
      <c r="A129" s="42" t="s">
        <v>92</v>
      </c>
      <c r="B129" s="60">
        <f>(((610.5)*(EXP(((17.269*B91)/(237.3+B91))))))</f>
        <v>1857.4903253509824</v>
      </c>
      <c r="C129" s="60"/>
      <c r="D129" s="60" t="s">
        <v>89</v>
      </c>
      <c r="E129" s="60"/>
      <c r="F129" s="17"/>
      <c r="G129" s="17"/>
      <c r="H129" s="42" t="s">
        <v>92</v>
      </c>
      <c r="I129" s="60">
        <f t="shared" ref="I129:I138" si="1">((((610.5)*EXP((((21.875*B91)/(265.5+B91)))))))</f>
        <v>2170.5496334177838</v>
      </c>
      <c r="J129" s="60"/>
      <c r="K129" s="60" t="s">
        <v>89</v>
      </c>
      <c r="L129" s="60"/>
      <c r="M129" s="12"/>
      <c r="N129" s="12"/>
      <c r="O129" s="42" t="s">
        <v>92</v>
      </c>
      <c r="P129" s="70">
        <f>IF(B91&gt;=0,B129,I129)</f>
        <v>1857.4903253509824</v>
      </c>
      <c r="Q129" s="70"/>
      <c r="R129" s="60" t="s">
        <v>89</v>
      </c>
      <c r="S129" s="60"/>
      <c r="T129" s="1"/>
      <c r="U129" s="1"/>
      <c r="V129" s="1"/>
      <c r="W129" s="7"/>
      <c r="X129" s="7"/>
      <c r="Y129" s="7"/>
      <c r="Z129" s="7"/>
      <c r="AA129" s="7"/>
      <c r="AB129" s="7"/>
      <c r="AC129" s="5"/>
      <c r="AD129" s="5"/>
      <c r="AE129" s="5"/>
      <c r="AF129" s="5"/>
    </row>
    <row r="130" spans="1:32" ht="18">
      <c r="A130" s="40" t="s">
        <v>198</v>
      </c>
      <c r="B130" s="61">
        <f>(((610.5)*(EXP(((17.269*B92)/(237.3+B92))))))</f>
        <v>1817.6221823811297</v>
      </c>
      <c r="C130" s="62"/>
      <c r="D130" s="60" t="s">
        <v>89</v>
      </c>
      <c r="E130" s="60"/>
      <c r="F130" s="17"/>
      <c r="G130" s="17"/>
      <c r="H130" s="40" t="s">
        <v>198</v>
      </c>
      <c r="I130" s="61">
        <f t="shared" si="1"/>
        <v>2117.1674060451269</v>
      </c>
      <c r="J130" s="62"/>
      <c r="K130" s="60" t="s">
        <v>89</v>
      </c>
      <c r="L130" s="60"/>
      <c r="M130" s="12"/>
      <c r="N130" s="12"/>
      <c r="O130" s="40" t="s">
        <v>198</v>
      </c>
      <c r="P130" s="68">
        <f>IF(B92&gt;=0,B130,I130)</f>
        <v>1817.6221823811297</v>
      </c>
      <c r="Q130" s="69"/>
      <c r="R130" s="60" t="s">
        <v>89</v>
      </c>
      <c r="S130" s="60"/>
      <c r="T130" s="1"/>
      <c r="U130" s="1"/>
      <c r="V130" s="1"/>
      <c r="W130" s="7"/>
      <c r="X130" s="7"/>
      <c r="Y130" s="7"/>
      <c r="Z130" s="7"/>
      <c r="AA130" s="7"/>
      <c r="AB130" s="7"/>
      <c r="AC130" s="5"/>
      <c r="AD130" s="5"/>
      <c r="AE130" s="5"/>
      <c r="AF130" s="5"/>
    </row>
    <row r="131" spans="1:32" ht="18">
      <c r="A131" s="40" t="s">
        <v>199</v>
      </c>
      <c r="B131" s="61">
        <f>(((610.5)*(EXP(((17.269*B93)/(237.3+B93))))))</f>
        <v>1778.5059597453824</v>
      </c>
      <c r="C131" s="62"/>
      <c r="D131" s="60" t="s">
        <v>89</v>
      </c>
      <c r="E131" s="60"/>
      <c r="F131" s="17"/>
      <c r="G131" s="17"/>
      <c r="H131" s="40" t="s">
        <v>199</v>
      </c>
      <c r="I131" s="61">
        <f t="shared" si="1"/>
        <v>2064.9736249530902</v>
      </c>
      <c r="J131" s="62"/>
      <c r="K131" s="60" t="s">
        <v>89</v>
      </c>
      <c r="L131" s="60"/>
      <c r="M131" s="12"/>
      <c r="N131" s="12"/>
      <c r="O131" s="40" t="s">
        <v>199</v>
      </c>
      <c r="P131" s="68">
        <f>IF(B93&gt;=0,B131,I131)</f>
        <v>1778.5059597453824</v>
      </c>
      <c r="Q131" s="69"/>
      <c r="R131" s="60" t="s">
        <v>89</v>
      </c>
      <c r="S131" s="60"/>
      <c r="T131" s="1"/>
      <c r="U131" s="1"/>
      <c r="V131" s="1"/>
      <c r="W131" s="7"/>
      <c r="X131" s="7"/>
      <c r="Y131" s="7"/>
      <c r="Z131" s="7"/>
      <c r="AA131" s="7"/>
      <c r="AB131" s="7"/>
      <c r="AC131" s="5"/>
      <c r="AD131" s="5"/>
      <c r="AE131" s="5"/>
      <c r="AF131" s="5"/>
    </row>
    <row r="132" spans="1:32" ht="18">
      <c r="A132" s="40" t="s">
        <v>200</v>
      </c>
      <c r="B132" s="61">
        <f>(((610.5)*(EXP(((17.269*B94)/(237.3+B94))))))</f>
        <v>1740.1295814794021</v>
      </c>
      <c r="C132" s="62"/>
      <c r="D132" s="60" t="s">
        <v>89</v>
      </c>
      <c r="E132" s="60"/>
      <c r="F132" s="17"/>
      <c r="G132" s="17"/>
      <c r="H132" s="40" t="s">
        <v>200</v>
      </c>
      <c r="I132" s="61">
        <f t="shared" si="1"/>
        <v>2013.9447629960237</v>
      </c>
      <c r="J132" s="62"/>
      <c r="K132" s="60" t="s">
        <v>89</v>
      </c>
      <c r="L132" s="60"/>
      <c r="M132" s="12"/>
      <c r="N132" s="12"/>
      <c r="O132" s="40" t="s">
        <v>200</v>
      </c>
      <c r="P132" s="68">
        <f>IF(B94&gt;=0,B132,I132)</f>
        <v>1740.1295814794021</v>
      </c>
      <c r="Q132" s="69"/>
      <c r="R132" s="60" t="s">
        <v>89</v>
      </c>
      <c r="S132" s="60"/>
      <c r="T132" s="1"/>
      <c r="U132" s="1"/>
      <c r="V132" s="1"/>
      <c r="W132" s="7"/>
      <c r="X132" s="7"/>
      <c r="Y132" s="7"/>
      <c r="Z132" s="7"/>
      <c r="AA132" s="7"/>
      <c r="AB132" s="7"/>
      <c r="AC132" s="5"/>
      <c r="AD132" s="5"/>
      <c r="AE132" s="5"/>
      <c r="AF132" s="5"/>
    </row>
    <row r="133" spans="1:32" ht="18">
      <c r="A133" s="40" t="s">
        <v>201</v>
      </c>
      <c r="B133" s="61">
        <f>(((610.5)*(EXP(((17.269*B95)/(237.3+B95))))))</f>
        <v>1702.4811281503598</v>
      </c>
      <c r="C133" s="62"/>
      <c r="D133" s="60" t="s">
        <v>89</v>
      </c>
      <c r="E133" s="60"/>
      <c r="F133" s="17"/>
      <c r="G133" s="17"/>
      <c r="H133" s="40" t="s">
        <v>201</v>
      </c>
      <c r="I133" s="61">
        <f t="shared" si="1"/>
        <v>1964.0576964012716</v>
      </c>
      <c r="J133" s="62"/>
      <c r="K133" s="60" t="s">
        <v>89</v>
      </c>
      <c r="L133" s="60"/>
      <c r="M133" s="12"/>
      <c r="N133" s="12"/>
      <c r="O133" s="40" t="s">
        <v>201</v>
      </c>
      <c r="P133" s="68">
        <f>IF(B95&gt;=0,B133,I133)</f>
        <v>1702.4811281503598</v>
      </c>
      <c r="Q133" s="69"/>
      <c r="R133" s="60" t="s">
        <v>89</v>
      </c>
      <c r="S133" s="60"/>
      <c r="T133" s="1"/>
      <c r="U133" s="1"/>
      <c r="V133" s="1"/>
      <c r="W133" s="7"/>
      <c r="X133" s="7"/>
      <c r="Y133" s="7"/>
      <c r="Z133" s="7"/>
      <c r="AA133" s="7"/>
      <c r="AB133" s="7"/>
      <c r="AC133" s="5"/>
      <c r="AD133" s="5"/>
      <c r="AE133" s="5"/>
      <c r="AF133" s="5"/>
    </row>
    <row r="134" spans="1:32" ht="18">
      <c r="A134" s="40" t="s">
        <v>202</v>
      </c>
      <c r="B134" s="60">
        <f>(((610.5)*(EXP(((17.269*B96)/(237.3+B96))))))</f>
        <v>1629.3210924617058</v>
      </c>
      <c r="C134" s="60"/>
      <c r="D134" s="60" t="s">
        <v>89</v>
      </c>
      <c r="E134" s="60"/>
      <c r="F134" s="17"/>
      <c r="G134" s="17"/>
      <c r="H134" s="40" t="s">
        <v>202</v>
      </c>
      <c r="I134" s="60">
        <f t="shared" si="1"/>
        <v>1867.6184367206845</v>
      </c>
      <c r="J134" s="60"/>
      <c r="K134" s="60" t="s">
        <v>89</v>
      </c>
      <c r="L134" s="60"/>
      <c r="M134" s="12"/>
      <c r="N134" s="12"/>
      <c r="O134" s="40" t="s">
        <v>202</v>
      </c>
      <c r="P134" s="70">
        <f>IF(B96&gt;=0,B134,I134)</f>
        <v>1629.3210924617058</v>
      </c>
      <c r="Q134" s="70"/>
      <c r="R134" s="60" t="s">
        <v>89</v>
      </c>
      <c r="S134" s="60"/>
      <c r="T134" s="1"/>
      <c r="U134" s="1"/>
      <c r="V134" s="1"/>
      <c r="W134" s="7"/>
      <c r="X134" s="7"/>
      <c r="Y134" s="7"/>
      <c r="Z134" s="7"/>
      <c r="AA134" s="7"/>
      <c r="AB134" s="7"/>
      <c r="AC134" s="5"/>
      <c r="AD134" s="5"/>
      <c r="AE134" s="5"/>
      <c r="AF134" s="5"/>
    </row>
    <row r="135" spans="1:32" ht="18">
      <c r="A135" s="40" t="s">
        <v>203</v>
      </c>
      <c r="B135" s="60">
        <f>(((610.5)*(EXP(((17.269*B97)/(237.3+B97))))))</f>
        <v>1629.3210924617058</v>
      </c>
      <c r="C135" s="60"/>
      <c r="D135" s="60" t="s">
        <v>89</v>
      </c>
      <c r="E135" s="60"/>
      <c r="F135" s="17"/>
      <c r="G135" s="17"/>
      <c r="H135" s="40" t="s">
        <v>203</v>
      </c>
      <c r="I135" s="60">
        <f t="shared" si="1"/>
        <v>1867.6184367206845</v>
      </c>
      <c r="J135" s="60"/>
      <c r="K135" s="60" t="s">
        <v>89</v>
      </c>
      <c r="L135" s="60"/>
      <c r="M135" s="12"/>
      <c r="N135" s="12"/>
      <c r="O135" s="40" t="s">
        <v>203</v>
      </c>
      <c r="P135" s="70">
        <f>IF(B97&gt;=0,B135,I135)</f>
        <v>1629.3210924617058</v>
      </c>
      <c r="Q135" s="70"/>
      <c r="R135" s="60" t="s">
        <v>89</v>
      </c>
      <c r="S135" s="60"/>
      <c r="T135" s="1"/>
      <c r="U135" s="1"/>
      <c r="V135" s="1"/>
      <c r="W135" s="7"/>
      <c r="X135" s="7"/>
      <c r="Y135" s="7"/>
      <c r="Z135" s="7"/>
      <c r="AA135" s="7"/>
      <c r="AB135" s="7"/>
      <c r="AC135" s="5"/>
      <c r="AD135" s="5"/>
      <c r="AE135" s="5"/>
      <c r="AF135" s="5"/>
    </row>
    <row r="136" spans="1:32" ht="18">
      <c r="A136" s="40" t="s">
        <v>204</v>
      </c>
      <c r="B136" s="61">
        <f>(((610.5)*(EXP(((17.269*B98)/(237.3+B98))))))</f>
        <v>1593.7864407656955</v>
      </c>
      <c r="C136" s="62"/>
      <c r="D136" s="60" t="s">
        <v>89</v>
      </c>
      <c r="E136" s="60"/>
      <c r="F136" s="17"/>
      <c r="G136" s="17"/>
      <c r="H136" s="40" t="s">
        <v>204</v>
      </c>
      <c r="I136" s="61">
        <f t="shared" si="1"/>
        <v>1821.021961643047</v>
      </c>
      <c r="J136" s="62"/>
      <c r="K136" s="60" t="s">
        <v>89</v>
      </c>
      <c r="L136" s="60"/>
      <c r="M136" s="12"/>
      <c r="N136" s="12"/>
      <c r="O136" s="40" t="s">
        <v>204</v>
      </c>
      <c r="P136" s="68">
        <f>IF(B98&gt;=0,B136,I136)</f>
        <v>1593.7864407656955</v>
      </c>
      <c r="Q136" s="69"/>
      <c r="R136" s="60" t="s">
        <v>89</v>
      </c>
      <c r="S136" s="60"/>
      <c r="T136" s="1"/>
      <c r="U136" s="1"/>
      <c r="V136" s="1"/>
      <c r="W136" s="7"/>
      <c r="X136" s="7"/>
      <c r="Y136" s="7"/>
      <c r="Z136" s="7"/>
      <c r="AA136" s="7"/>
      <c r="AB136" s="7"/>
      <c r="AC136" s="5"/>
      <c r="AD136" s="5"/>
      <c r="AE136" s="5"/>
      <c r="AF136" s="5"/>
    </row>
    <row r="137" spans="1:32" ht="18">
      <c r="A137" s="40" t="s">
        <v>205</v>
      </c>
      <c r="B137" s="61">
        <f>(((610.5)*(EXP(((17.269*B99)/(237.3+B99))))))</f>
        <v>1558.9335724422579</v>
      </c>
      <c r="C137" s="62"/>
      <c r="D137" s="60" t="s">
        <v>89</v>
      </c>
      <c r="E137" s="60"/>
      <c r="F137" s="17"/>
      <c r="G137" s="17"/>
      <c r="H137" s="40" t="s">
        <v>205</v>
      </c>
      <c r="I137" s="61">
        <f t="shared" si="1"/>
        <v>1775.4787067817133</v>
      </c>
      <c r="J137" s="62"/>
      <c r="K137" s="60" t="s">
        <v>89</v>
      </c>
      <c r="L137" s="60"/>
      <c r="M137" s="12"/>
      <c r="N137" s="12"/>
      <c r="O137" s="40" t="s">
        <v>205</v>
      </c>
      <c r="P137" s="68">
        <f>IF(B99&gt;=0,B137,I137)</f>
        <v>1558.9335724422579</v>
      </c>
      <c r="Q137" s="69"/>
      <c r="R137" s="60" t="s">
        <v>89</v>
      </c>
      <c r="S137" s="60"/>
      <c r="T137" s="1"/>
      <c r="U137" s="1"/>
      <c r="V137" s="1"/>
      <c r="W137" s="7"/>
      <c r="X137" s="7"/>
      <c r="Y137" s="7"/>
      <c r="Z137" s="7"/>
      <c r="AA137" s="7"/>
      <c r="AB137" s="7"/>
      <c r="AC137" s="5"/>
      <c r="AD137" s="5"/>
      <c r="AE137" s="5"/>
      <c r="AF137" s="5"/>
    </row>
    <row r="138" spans="1:32" ht="18">
      <c r="A138" s="40" t="s">
        <v>206</v>
      </c>
      <c r="B138" s="61">
        <f>(((610.5)*(EXP(((17.269*B100)/(237.3+B100))))))</f>
        <v>1524.7513289131857</v>
      </c>
      <c r="C138" s="62"/>
      <c r="D138" s="60" t="s">
        <v>89</v>
      </c>
      <c r="E138" s="60"/>
      <c r="F138" s="17"/>
      <c r="G138" s="17"/>
      <c r="H138" s="40" t="s">
        <v>206</v>
      </c>
      <c r="I138" s="61">
        <f t="shared" si="1"/>
        <v>1730.9674804295112</v>
      </c>
      <c r="J138" s="62"/>
      <c r="K138" s="60" t="s">
        <v>89</v>
      </c>
      <c r="L138" s="60"/>
      <c r="M138" s="12"/>
      <c r="N138" s="12"/>
      <c r="O138" s="40" t="s">
        <v>206</v>
      </c>
      <c r="P138" s="68">
        <f>IF(B100&gt;=0,B138,I138)</f>
        <v>1524.7513289131857</v>
      </c>
      <c r="Q138" s="69"/>
      <c r="R138" s="60" t="s">
        <v>89</v>
      </c>
      <c r="S138" s="60"/>
      <c r="T138" s="1"/>
      <c r="U138" s="1"/>
      <c r="V138" s="1"/>
      <c r="W138" s="7"/>
      <c r="X138" s="7"/>
      <c r="Y138" s="7"/>
      <c r="Z138" s="7"/>
      <c r="AA138" s="7"/>
      <c r="AB138" s="7"/>
      <c r="AC138" s="5"/>
      <c r="AD138" s="5"/>
      <c r="AE138" s="5"/>
      <c r="AF138" s="5"/>
    </row>
    <row r="139" spans="1:32" ht="18">
      <c r="A139" s="42" t="s">
        <v>93</v>
      </c>
      <c r="B139" s="60">
        <f>(((610.5)*(EXP(((17.269*B101)/(237.3+B101))))))</f>
        <v>1491.228699457389</v>
      </c>
      <c r="C139" s="60"/>
      <c r="D139" s="60" t="s">
        <v>89</v>
      </c>
      <c r="E139" s="60"/>
      <c r="F139" s="17"/>
      <c r="G139" s="17"/>
      <c r="H139" s="42" t="s">
        <v>93</v>
      </c>
      <c r="I139" s="80">
        <f t="shared" ref="I139:I148" si="2">((((610.5)*EXP((((21.875*B101)/(265.5+B101)))))))</f>
        <v>1687.4674607618149</v>
      </c>
      <c r="J139" s="80"/>
      <c r="K139" s="60" t="s">
        <v>89</v>
      </c>
      <c r="L139" s="60"/>
      <c r="M139" s="17"/>
      <c r="N139" s="17"/>
      <c r="O139" s="42" t="s">
        <v>93</v>
      </c>
      <c r="P139" s="78">
        <f>IF(B101&gt;=0,B139,I139)</f>
        <v>1491.228699457389</v>
      </c>
      <c r="Q139" s="78"/>
      <c r="R139" s="60" t="s">
        <v>89</v>
      </c>
      <c r="S139" s="60"/>
      <c r="T139" s="16"/>
      <c r="U139" s="16"/>
      <c r="V139" s="16"/>
    </row>
    <row r="140" spans="1:32" ht="18">
      <c r="A140" s="28" t="s">
        <v>153</v>
      </c>
      <c r="B140" s="61">
        <f>(((610.5)*(EXP(((17.269*B102)/(237.3+B102))))))</f>
        <v>1378.9384088225697</v>
      </c>
      <c r="C140" s="62"/>
      <c r="D140" s="60" t="s">
        <v>89</v>
      </c>
      <c r="E140" s="60"/>
      <c r="F140" s="17"/>
      <c r="G140" s="17"/>
      <c r="H140" s="40" t="s">
        <v>153</v>
      </c>
      <c r="I140" s="61">
        <f t="shared" si="2"/>
        <v>1542.8885191969966</v>
      </c>
      <c r="J140" s="62"/>
      <c r="K140" s="60" t="s">
        <v>89</v>
      </c>
      <c r="L140" s="60"/>
      <c r="M140" s="17"/>
      <c r="N140" s="17"/>
      <c r="O140" s="40" t="s">
        <v>153</v>
      </c>
      <c r="P140" s="68">
        <f>IF(B102&gt;=0,B140,I140)</f>
        <v>1378.9384088225697</v>
      </c>
      <c r="Q140" s="69"/>
      <c r="R140" s="60" t="s">
        <v>89</v>
      </c>
      <c r="S140" s="60"/>
      <c r="T140" s="16"/>
      <c r="U140" s="16"/>
      <c r="V140" s="16"/>
    </row>
    <row r="141" spans="1:32" ht="18" customHeight="1">
      <c r="A141" s="28" t="s">
        <v>156</v>
      </c>
      <c r="B141" s="61">
        <f>(((610.5)*(EXP(((17.269*B103)/(237.3+B103))))))</f>
        <v>1274.1449828761019</v>
      </c>
      <c r="C141" s="62"/>
      <c r="D141" s="60" t="s">
        <v>89</v>
      </c>
      <c r="E141" s="60"/>
      <c r="F141" s="17"/>
      <c r="G141" s="17"/>
      <c r="H141" s="40" t="s">
        <v>156</v>
      </c>
      <c r="I141" s="61">
        <f t="shared" si="2"/>
        <v>1409.6072993198693</v>
      </c>
      <c r="J141" s="62"/>
      <c r="K141" s="60" t="s">
        <v>89</v>
      </c>
      <c r="L141" s="60"/>
      <c r="M141" s="17"/>
      <c r="N141" s="17"/>
      <c r="O141" s="40" t="s">
        <v>156</v>
      </c>
      <c r="P141" s="68">
        <f>IF(B103&gt;=0,B141,I141)</f>
        <v>1274.1449828761019</v>
      </c>
      <c r="Q141" s="69"/>
      <c r="R141" s="60" t="s">
        <v>89</v>
      </c>
      <c r="S141" s="60"/>
      <c r="T141" s="16"/>
      <c r="U141" s="16"/>
      <c r="V141" s="16"/>
    </row>
    <row r="142" spans="1:32" ht="17.25" customHeight="1">
      <c r="A142" s="28" t="s">
        <v>157</v>
      </c>
      <c r="B142" s="61">
        <f>(((610.5)*(EXP(((17.269*B104)/(237.3+B104))))))</f>
        <v>1176.4174647241093</v>
      </c>
      <c r="C142" s="62"/>
      <c r="D142" s="60" t="s">
        <v>89</v>
      </c>
      <c r="E142" s="60"/>
      <c r="F142" s="17"/>
      <c r="G142" s="17"/>
      <c r="H142" s="40" t="s">
        <v>157</v>
      </c>
      <c r="I142" s="61">
        <f t="shared" si="2"/>
        <v>1286.8319181440177</v>
      </c>
      <c r="J142" s="62"/>
      <c r="K142" s="60" t="s">
        <v>89</v>
      </c>
      <c r="L142" s="60"/>
      <c r="M142" s="17"/>
      <c r="N142" s="17"/>
      <c r="O142" s="40" t="s">
        <v>157</v>
      </c>
      <c r="P142" s="68">
        <f>IF(B104&gt;=0,B142,I142)</f>
        <v>1176.4174647241093</v>
      </c>
      <c r="Q142" s="69"/>
      <c r="R142" s="60" t="s">
        <v>89</v>
      </c>
      <c r="S142" s="60"/>
      <c r="T142" s="16"/>
      <c r="U142" s="16"/>
      <c r="V142" s="16"/>
    </row>
    <row r="143" spans="1:32" ht="18" customHeight="1">
      <c r="A143" s="28" t="s">
        <v>158</v>
      </c>
      <c r="B143" s="61">
        <f>(((610.5)*(EXP(((17.269*B105)/(237.3+B105))))))</f>
        <v>1085.3452039842432</v>
      </c>
      <c r="C143" s="62"/>
      <c r="D143" s="60" t="s">
        <v>89</v>
      </c>
      <c r="E143" s="60"/>
      <c r="F143" s="17"/>
      <c r="G143" s="17"/>
      <c r="H143" s="40" t="s">
        <v>158</v>
      </c>
      <c r="I143" s="61">
        <f t="shared" si="2"/>
        <v>1173.8190804616004</v>
      </c>
      <c r="J143" s="62"/>
      <c r="K143" s="60" t="s">
        <v>89</v>
      </c>
      <c r="L143" s="60"/>
      <c r="M143" s="17"/>
      <c r="N143" s="17"/>
      <c r="O143" s="40" t="s">
        <v>158</v>
      </c>
      <c r="P143" s="68">
        <f>IF(B105&gt;=0,B143,I143)</f>
        <v>1085.3452039842432</v>
      </c>
      <c r="Q143" s="69"/>
      <c r="R143" s="60" t="s">
        <v>89</v>
      </c>
      <c r="S143" s="60"/>
      <c r="T143" s="16"/>
      <c r="U143" s="16"/>
      <c r="V143" s="16"/>
    </row>
    <row r="144" spans="1:32" ht="18.75" customHeight="1">
      <c r="A144" s="28" t="s">
        <v>159</v>
      </c>
      <c r="B144" s="61">
        <f>(((610.5)*(EXP(((17.269*B106)/(237.3+B106))))))</f>
        <v>1000.5371475954216</v>
      </c>
      <c r="C144" s="62"/>
      <c r="D144" s="60" t="s">
        <v>89</v>
      </c>
      <c r="E144" s="60"/>
      <c r="F144" s="17"/>
      <c r="G144" s="17"/>
      <c r="H144" s="40" t="s">
        <v>159</v>
      </c>
      <c r="I144" s="61">
        <f t="shared" si="2"/>
        <v>1069.8715698498227</v>
      </c>
      <c r="J144" s="62"/>
      <c r="K144" s="60" t="s">
        <v>89</v>
      </c>
      <c r="L144" s="60"/>
      <c r="M144" s="17"/>
      <c r="N144" s="17"/>
      <c r="O144" s="40" t="s">
        <v>159</v>
      </c>
      <c r="P144" s="68">
        <f>IF(B106&gt;=0,B144,I144)</f>
        <v>1000.5371475954216</v>
      </c>
      <c r="Q144" s="69"/>
      <c r="R144" s="60" t="s">
        <v>89</v>
      </c>
      <c r="S144" s="60"/>
      <c r="T144" s="16"/>
      <c r="U144" s="16"/>
      <c r="V144" s="16"/>
    </row>
    <row r="145" spans="1:23" ht="17.25" customHeight="1">
      <c r="A145" s="28" t="s">
        <v>160</v>
      </c>
      <c r="B145" s="61">
        <f>(((610.5)*(EXP(((17.269*B107)/(237.3+B107))))))</f>
        <v>921.6211439202915</v>
      </c>
      <c r="C145" s="62"/>
      <c r="D145" s="60" t="s">
        <v>89</v>
      </c>
      <c r="E145" s="60"/>
      <c r="F145" s="17"/>
      <c r="G145" s="17"/>
      <c r="H145" s="40" t="s">
        <v>160</v>
      </c>
      <c r="I145" s="61">
        <f t="shared" si="2"/>
        <v>974.33584086365647</v>
      </c>
      <c r="J145" s="62"/>
      <c r="K145" s="60" t="s">
        <v>89</v>
      </c>
      <c r="L145" s="60"/>
      <c r="M145" s="17"/>
      <c r="N145" s="17"/>
      <c r="O145" s="40" t="s">
        <v>160</v>
      </c>
      <c r="P145" s="68">
        <f>IF(B107&gt;=0,B145,I145)</f>
        <v>921.6211439202915</v>
      </c>
      <c r="Q145" s="69"/>
      <c r="R145" s="60" t="s">
        <v>89</v>
      </c>
      <c r="S145" s="60"/>
      <c r="T145" s="16"/>
      <c r="U145" s="16"/>
      <c r="V145" s="16"/>
    </row>
    <row r="146" spans="1:23" ht="17.25" customHeight="1">
      <c r="A146" s="28" t="s">
        <v>161</v>
      </c>
      <c r="B146" s="61">
        <f>(((610.5)*(EXP(((17.269*B108)/(237.3+B108))))))</f>
        <v>848.24326032760007</v>
      </c>
      <c r="C146" s="62"/>
      <c r="D146" s="60" t="s">
        <v>89</v>
      </c>
      <c r="E146" s="60"/>
      <c r="F146" s="17"/>
      <c r="G146" s="17"/>
      <c r="H146" s="40" t="s">
        <v>161</v>
      </c>
      <c r="I146" s="61">
        <f t="shared" si="2"/>
        <v>886.59970979844707</v>
      </c>
      <c r="J146" s="62"/>
      <c r="K146" s="60" t="s">
        <v>89</v>
      </c>
      <c r="L146" s="60"/>
      <c r="M146" s="17"/>
      <c r="N146" s="17"/>
      <c r="O146" s="40" t="s">
        <v>161</v>
      </c>
      <c r="P146" s="68">
        <f>IF(B108&gt;=0,B146,I146)</f>
        <v>848.24326032760007</v>
      </c>
      <c r="Q146" s="69"/>
      <c r="R146" s="60" t="s">
        <v>89</v>
      </c>
      <c r="S146" s="60"/>
      <c r="T146" s="16"/>
      <c r="U146" s="16"/>
      <c r="V146" s="16"/>
    </row>
    <row r="147" spans="1:23" ht="16.5" customHeight="1">
      <c r="A147" s="28" t="s">
        <v>155</v>
      </c>
      <c r="B147" s="61">
        <f>(((610.5)*(EXP(((17.269*B109)/(237.3+B109))))))</f>
        <v>780.06711442601238</v>
      </c>
      <c r="C147" s="62"/>
      <c r="D147" s="60" t="s">
        <v>89</v>
      </c>
      <c r="E147" s="60"/>
      <c r="F147" s="17"/>
      <c r="G147" s="17"/>
      <c r="H147" s="40" t="s">
        <v>155</v>
      </c>
      <c r="I147" s="61">
        <f t="shared" si="2"/>
        <v>806.09014140985312</v>
      </c>
      <c r="J147" s="62"/>
      <c r="K147" s="60" t="s">
        <v>89</v>
      </c>
      <c r="L147" s="60"/>
      <c r="M147" s="17"/>
      <c r="N147" s="17"/>
      <c r="O147" s="40" t="s">
        <v>155</v>
      </c>
      <c r="P147" s="68">
        <f>IF(B109&gt;=0,B147,I147)</f>
        <v>780.06711442601238</v>
      </c>
      <c r="Q147" s="69"/>
      <c r="R147" s="60" t="s">
        <v>89</v>
      </c>
      <c r="S147" s="60"/>
      <c r="T147" s="16"/>
      <c r="U147" s="16"/>
      <c r="V147" s="16"/>
    </row>
    <row r="148" spans="1:23" ht="17.25" customHeight="1">
      <c r="A148" s="28" t="s">
        <v>154</v>
      </c>
      <c r="B148" s="61">
        <f>(((610.5)*(EXP(((17.269*B110)/(237.3+B110))))))</f>
        <v>716.77321910507158</v>
      </c>
      <c r="C148" s="62"/>
      <c r="D148" s="60" t="s">
        <v>89</v>
      </c>
      <c r="E148" s="60"/>
      <c r="F148" s="17"/>
      <c r="G148" s="17"/>
      <c r="H148" s="40" t="s">
        <v>154</v>
      </c>
      <c r="I148" s="61">
        <f t="shared" si="2"/>
        <v>732.27112898502514</v>
      </c>
      <c r="J148" s="62"/>
      <c r="K148" s="60" t="s">
        <v>89</v>
      </c>
      <c r="L148" s="60"/>
      <c r="M148" s="17"/>
      <c r="N148" s="17"/>
      <c r="O148" s="40" t="s">
        <v>154</v>
      </c>
      <c r="P148" s="68">
        <f>IF(B110&gt;=0,B148,I148)</f>
        <v>716.77321910507158</v>
      </c>
      <c r="Q148" s="69"/>
      <c r="R148" s="60" t="s">
        <v>89</v>
      </c>
      <c r="S148" s="60"/>
      <c r="T148" s="16"/>
      <c r="U148" s="16"/>
      <c r="V148" s="16"/>
    </row>
    <row r="149" spans="1:23" ht="18">
      <c r="A149" s="42" t="s">
        <v>268</v>
      </c>
      <c r="B149" s="60">
        <f>(((610.5)*(EXP(((17.269*B111)/(237.3+B111))))))</f>
        <v>658.05834152303328</v>
      </c>
      <c r="C149" s="60"/>
      <c r="D149" s="60" t="s">
        <v>89</v>
      </c>
      <c r="E149" s="60"/>
      <c r="F149" s="17"/>
      <c r="G149" s="17"/>
      <c r="H149" s="42" t="s">
        <v>268</v>
      </c>
      <c r="I149" s="80">
        <f>((((610.5)*EXP((((21.875*B111)/(265.5+B111)))))))</f>
        <v>664.64166516801095</v>
      </c>
      <c r="J149" s="80"/>
      <c r="K149" s="60" t="s">
        <v>89</v>
      </c>
      <c r="L149" s="60"/>
      <c r="M149" s="17"/>
      <c r="N149" s="17"/>
      <c r="O149" s="42" t="s">
        <v>268</v>
      </c>
      <c r="P149" s="78">
        <f>IF(B111&gt;=0,B149,I149)</f>
        <v>658.05834152303328</v>
      </c>
      <c r="Q149" s="78"/>
      <c r="R149" s="60" t="s">
        <v>89</v>
      </c>
      <c r="S149" s="60"/>
      <c r="T149" s="16"/>
      <c r="U149" s="16"/>
      <c r="V149" s="16"/>
    </row>
    <row r="150" spans="1:23" ht="18">
      <c r="A150" s="43" t="s">
        <v>118</v>
      </c>
      <c r="B150" s="60">
        <f>(((610.5)*(EXP(((17.269*E61)/(237.3+E61))))))</f>
        <v>610.5</v>
      </c>
      <c r="C150" s="60"/>
      <c r="D150" s="60" t="s">
        <v>89</v>
      </c>
      <c r="E150" s="60"/>
      <c r="F150" s="17"/>
      <c r="G150" s="17"/>
      <c r="H150" s="43" t="s">
        <v>118</v>
      </c>
      <c r="I150" s="80">
        <f>((((610.5)*EXP((((21.875*E61)/(265.5+E61)))))))</f>
        <v>610.5</v>
      </c>
      <c r="J150" s="80"/>
      <c r="K150" s="60" t="s">
        <v>89</v>
      </c>
      <c r="L150" s="60"/>
      <c r="M150" s="17"/>
      <c r="N150" s="17"/>
      <c r="O150" s="43" t="s">
        <v>118</v>
      </c>
      <c r="P150" s="78">
        <f>IF(E61&gt;=0,B150,I150)</f>
        <v>610.5</v>
      </c>
      <c r="Q150" s="78"/>
      <c r="R150" s="60" t="s">
        <v>89</v>
      </c>
      <c r="S150" s="60"/>
      <c r="T150" s="16"/>
      <c r="U150" s="16"/>
      <c r="V150" s="16"/>
    </row>
    <row r="151" spans="1:2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>
      <c r="A152" s="80" t="s">
        <v>91</v>
      </c>
      <c r="B152" s="80"/>
      <c r="C152" s="80"/>
      <c r="D152" s="80"/>
      <c r="E152" s="8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83" t="s">
        <v>100</v>
      </c>
      <c r="R153" s="83"/>
      <c r="S153" s="83"/>
      <c r="T153" s="83"/>
      <c r="U153" s="83"/>
      <c r="V153" s="17"/>
      <c r="W153" s="17"/>
    </row>
    <row r="154" spans="1:23" ht="18">
      <c r="A154" s="54" t="s">
        <v>94</v>
      </c>
      <c r="B154" s="80">
        <f>(K61*P150)</f>
        <v>488.40000000000003</v>
      </c>
      <c r="C154" s="80"/>
      <c r="D154" s="60" t="s">
        <v>89</v>
      </c>
      <c r="E154" s="6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80" t="s">
        <v>101</v>
      </c>
      <c r="R154" s="80"/>
      <c r="S154" s="58" t="s">
        <v>99</v>
      </c>
      <c r="T154" s="82"/>
      <c r="U154" s="59"/>
      <c r="V154" s="17"/>
      <c r="W154" s="17"/>
    </row>
    <row r="155" spans="1:23" ht="18">
      <c r="A155" s="80" t="s">
        <v>96</v>
      </c>
      <c r="B155" s="80"/>
      <c r="C155" s="80"/>
      <c r="D155" s="80"/>
      <c r="E155" s="80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80" t="s">
        <v>102</v>
      </c>
      <c r="R155" s="80"/>
      <c r="S155" s="80">
        <v>270</v>
      </c>
      <c r="T155" s="80"/>
      <c r="U155" s="20" t="s">
        <v>89</v>
      </c>
      <c r="V155" s="17"/>
      <c r="W155" s="17"/>
    </row>
    <row r="156" spans="1:23" ht="18">
      <c r="A156" s="14" t="s">
        <v>95</v>
      </c>
      <c r="B156" s="80">
        <f>(H61*B118)</f>
        <v>0</v>
      </c>
      <c r="C156" s="80"/>
      <c r="D156" s="60" t="s">
        <v>89</v>
      </c>
      <c r="E156" s="6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80" t="s">
        <v>103</v>
      </c>
      <c r="R156" s="80"/>
      <c r="S156" s="80">
        <v>540</v>
      </c>
      <c r="T156" s="80"/>
      <c r="U156" s="20" t="s">
        <v>89</v>
      </c>
      <c r="V156" s="17"/>
      <c r="W156" s="17"/>
    </row>
    <row r="157" spans="1:23" ht="18" customHeight="1">
      <c r="A157" s="80" t="s">
        <v>97</v>
      </c>
      <c r="B157" s="80"/>
      <c r="C157" s="80"/>
      <c r="D157" s="80"/>
      <c r="E157" s="80"/>
      <c r="F157" s="84" t="s">
        <v>98</v>
      </c>
      <c r="G157" s="84"/>
      <c r="H157" s="84"/>
      <c r="I157" s="84"/>
      <c r="J157" s="84"/>
      <c r="K157" s="84"/>
      <c r="L157" s="84" t="s">
        <v>99</v>
      </c>
      <c r="M157" s="84" t="s">
        <v>106</v>
      </c>
      <c r="N157" s="84"/>
      <c r="O157" s="17"/>
      <c r="P157" s="17"/>
      <c r="Q157" s="80" t="s">
        <v>104</v>
      </c>
      <c r="R157" s="80"/>
      <c r="S157" s="80">
        <v>810</v>
      </c>
      <c r="T157" s="80"/>
      <c r="U157" s="20" t="s">
        <v>89</v>
      </c>
      <c r="V157" s="17"/>
      <c r="W157" s="17"/>
    </row>
    <row r="158" spans="1:23" ht="18">
      <c r="A158" s="54" t="s">
        <v>95</v>
      </c>
      <c r="B158" s="80">
        <f>((B154+M158))</f>
        <v>1298.4000000000001</v>
      </c>
      <c r="C158" s="80"/>
      <c r="D158" s="60" t="s">
        <v>89</v>
      </c>
      <c r="E158" s="60"/>
      <c r="F158" s="84"/>
      <c r="G158" s="84"/>
      <c r="H158" s="84"/>
      <c r="I158" s="84"/>
      <c r="J158" s="84"/>
      <c r="K158" s="84"/>
      <c r="L158" s="84"/>
      <c r="M158" s="85">
        <f>S157</f>
        <v>810</v>
      </c>
      <c r="N158" s="85"/>
      <c r="O158" s="17"/>
      <c r="P158" s="17"/>
      <c r="Q158" s="80" t="s">
        <v>105</v>
      </c>
      <c r="R158" s="80"/>
      <c r="S158" s="80">
        <v>1080</v>
      </c>
      <c r="T158" s="80"/>
      <c r="U158" s="18" t="s">
        <v>89</v>
      </c>
      <c r="V158" s="17"/>
      <c r="W158" s="17"/>
    </row>
    <row r="159" spans="1:2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24"/>
      <c r="R159" s="24"/>
      <c r="S159" s="24"/>
      <c r="T159" s="24"/>
      <c r="U159" s="23"/>
      <c r="V159" s="17"/>
      <c r="W159" s="17"/>
    </row>
    <row r="160" spans="1:23" ht="16.5">
      <c r="A160" s="12"/>
      <c r="B160" s="12"/>
      <c r="C160" s="12"/>
      <c r="D160" s="12"/>
      <c r="E160" s="12"/>
      <c r="F160" s="12"/>
      <c r="G160" s="12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6.5">
      <c r="A161" s="60" t="s">
        <v>80</v>
      </c>
      <c r="B161" s="60"/>
      <c r="C161" s="60"/>
      <c r="D161" s="60"/>
      <c r="E161" s="60"/>
      <c r="F161" s="12"/>
      <c r="G161" s="12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6.5">
      <c r="A162" s="12"/>
      <c r="B162" s="12"/>
      <c r="C162" s="12"/>
      <c r="D162" s="12"/>
      <c r="E162" s="12"/>
      <c r="F162" s="12"/>
      <c r="G162" s="12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6.5">
      <c r="A163" s="60" t="s">
        <v>81</v>
      </c>
      <c r="B163" s="60"/>
      <c r="C163" s="60"/>
      <c r="D163" s="60"/>
      <c r="E163" s="12"/>
      <c r="F163" s="60" t="s">
        <v>87</v>
      </c>
      <c r="G163" s="60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6.5">
      <c r="A164" s="12"/>
      <c r="B164" s="12"/>
      <c r="C164" s="12"/>
      <c r="D164" s="12"/>
      <c r="E164" s="12"/>
      <c r="F164" s="12"/>
      <c r="G164" s="12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6.5">
      <c r="A165" s="60" t="s">
        <v>111</v>
      </c>
      <c r="B165" s="60"/>
      <c r="C165" s="60"/>
      <c r="D165" s="60"/>
      <c r="E165" s="60"/>
      <c r="F165" s="12"/>
      <c r="G165" s="12"/>
      <c r="H165" s="80" t="s">
        <v>110</v>
      </c>
      <c r="I165" s="80"/>
      <c r="J165" s="80"/>
      <c r="K165" s="80"/>
      <c r="L165" s="80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8">
      <c r="A166" s="54" t="s">
        <v>82</v>
      </c>
      <c r="B166" s="101">
        <f>((B63/B69)+(E63/E69)+(H63/H69))</f>
        <v>1369444444.4444444</v>
      </c>
      <c r="C166" s="101"/>
      <c r="D166" s="60" t="s">
        <v>83</v>
      </c>
      <c r="E166" s="60"/>
      <c r="F166" s="12"/>
      <c r="G166" s="12"/>
      <c r="H166" s="18" t="s">
        <v>107</v>
      </c>
      <c r="I166" s="81">
        <f>((B158-B154)/(B166))</f>
        <v>5.9148073022312378E-7</v>
      </c>
      <c r="J166" s="81"/>
      <c r="K166" s="60" t="s">
        <v>108</v>
      </c>
      <c r="L166" s="60"/>
      <c r="M166" s="17"/>
      <c r="N166" s="17"/>
      <c r="O166" s="17"/>
      <c r="P166" s="17"/>
      <c r="Q166" s="17"/>
      <c r="R166" s="17"/>
      <c r="S166" s="16"/>
      <c r="T166" s="16"/>
      <c r="U166" s="16"/>
      <c r="V166" s="16"/>
    </row>
    <row r="167" spans="1:2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6"/>
      <c r="T167" s="16"/>
      <c r="U167" s="16"/>
      <c r="V167" s="16"/>
    </row>
    <row r="168" spans="1:2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6"/>
      <c r="T168" s="16"/>
      <c r="U168" s="16"/>
      <c r="V168" s="16"/>
    </row>
    <row r="169" spans="1:23">
      <c r="A169" s="56" t="s">
        <v>112</v>
      </c>
      <c r="B169" s="56"/>
      <c r="C169" s="56"/>
      <c r="D169" s="56"/>
      <c r="E169" s="5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6"/>
      <c r="U169" s="16"/>
      <c r="V169" s="16"/>
    </row>
    <row r="170" spans="1:23">
      <c r="A170" s="56"/>
      <c r="B170" s="56"/>
      <c r="C170" s="56"/>
      <c r="D170" s="56"/>
      <c r="E170" s="5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6"/>
      <c r="T170" s="16"/>
      <c r="U170" s="16"/>
      <c r="V170" s="16"/>
    </row>
    <row r="171" spans="1:23" ht="18">
      <c r="A171" s="51" t="s">
        <v>120</v>
      </c>
      <c r="B171" s="80">
        <f>B158</f>
        <v>1298.4000000000001</v>
      </c>
      <c r="C171" s="80"/>
      <c r="D171" s="60" t="s">
        <v>89</v>
      </c>
      <c r="E171" s="60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6"/>
      <c r="T171" s="16"/>
      <c r="U171" s="16"/>
      <c r="V171" s="16"/>
    </row>
    <row r="172" spans="1:23" ht="18">
      <c r="A172" s="52" t="s">
        <v>113</v>
      </c>
      <c r="B172" s="80">
        <f>(((B171)-((0)*(I166))))</f>
        <v>1298.4000000000001</v>
      </c>
      <c r="C172" s="80"/>
      <c r="D172" s="60" t="s">
        <v>89</v>
      </c>
      <c r="E172" s="6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6"/>
      <c r="T172" s="16"/>
      <c r="U172" s="16"/>
      <c r="V172" s="16"/>
    </row>
    <row r="173" spans="1:23" ht="18">
      <c r="A173" s="41" t="s">
        <v>228</v>
      </c>
      <c r="B173" s="58">
        <f>(((B171)-(((B63*Q80)/(B69))*(I166))))</f>
        <v>1232.6799188640975</v>
      </c>
      <c r="C173" s="59"/>
      <c r="D173" s="60" t="s">
        <v>89</v>
      </c>
      <c r="E173" s="60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6"/>
      <c r="T173" s="16"/>
      <c r="U173" s="16"/>
      <c r="V173" s="16"/>
    </row>
    <row r="174" spans="1:23" ht="18">
      <c r="A174" s="41" t="s">
        <v>229</v>
      </c>
      <c r="B174" s="58">
        <f>(((B171)-(((B63*Q81)/(B69))*(I166))))</f>
        <v>1166.9598377281948</v>
      </c>
      <c r="C174" s="59"/>
      <c r="D174" s="60" t="s">
        <v>89</v>
      </c>
      <c r="E174" s="6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6"/>
      <c r="T174" s="16"/>
      <c r="U174" s="16"/>
      <c r="V174" s="16"/>
    </row>
    <row r="175" spans="1:23" ht="18">
      <c r="A175" s="41" t="s">
        <v>230</v>
      </c>
      <c r="B175" s="58">
        <f>(((B171)-(((B63*Q82)/(B69))*(I166))))</f>
        <v>1101.2397565922922</v>
      </c>
      <c r="C175" s="59"/>
      <c r="D175" s="60" t="s">
        <v>89</v>
      </c>
      <c r="E175" s="6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6"/>
      <c r="U175" s="16"/>
      <c r="V175" s="16"/>
    </row>
    <row r="176" spans="1:23" ht="18">
      <c r="A176" s="41" t="s">
        <v>231</v>
      </c>
      <c r="B176" s="58">
        <f>(((B171)-(((B63*Q83)/(B69))*(I166))))</f>
        <v>1035.5196754563895</v>
      </c>
      <c r="C176" s="59"/>
      <c r="D176" s="60" t="s">
        <v>89</v>
      </c>
      <c r="E176" s="6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6"/>
      <c r="T176" s="16"/>
      <c r="U176" s="16"/>
      <c r="V176" s="16"/>
    </row>
    <row r="177" spans="1:22" ht="18">
      <c r="A177" s="41" t="s">
        <v>232</v>
      </c>
      <c r="B177" s="58">
        <f>(((B171)-(((B63*Q84)/(B69))*(I166))))</f>
        <v>969.7995943204869</v>
      </c>
      <c r="C177" s="59"/>
      <c r="D177" s="60" t="s">
        <v>89</v>
      </c>
      <c r="E177" s="6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6"/>
      <c r="T177" s="16"/>
      <c r="U177" s="16"/>
      <c r="V177" s="16"/>
    </row>
    <row r="178" spans="1:22" ht="18">
      <c r="A178" s="41" t="s">
        <v>233</v>
      </c>
      <c r="B178" s="58">
        <f>(((B171)-(((B63*Q85)/(B69))*(I166))))</f>
        <v>904.07951318458413</v>
      </c>
      <c r="C178" s="59"/>
      <c r="D178" s="60" t="s">
        <v>89</v>
      </c>
      <c r="E178" s="60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6"/>
      <c r="T178" s="16"/>
      <c r="U178" s="16"/>
      <c r="V178" s="16"/>
    </row>
    <row r="179" spans="1:22" ht="18">
      <c r="A179" s="41" t="s">
        <v>234</v>
      </c>
      <c r="B179" s="58">
        <f>(((B171)-(((B63*Q86)/(B69))*(I166))))</f>
        <v>838.35943204868158</v>
      </c>
      <c r="C179" s="59"/>
      <c r="D179" s="60" t="s">
        <v>89</v>
      </c>
      <c r="E179" s="60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6"/>
      <c r="T179" s="16"/>
      <c r="U179" s="16"/>
      <c r="V179" s="16"/>
    </row>
    <row r="180" spans="1:22" ht="18">
      <c r="A180" s="41" t="s">
        <v>235</v>
      </c>
      <c r="B180" s="58">
        <f>(((B171)-(((B63*Q87)/(B69))*(I166))))</f>
        <v>772.63935091277892</v>
      </c>
      <c r="C180" s="59"/>
      <c r="D180" s="60" t="s">
        <v>89</v>
      </c>
      <c r="E180" s="6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6"/>
      <c r="T180" s="16"/>
      <c r="U180" s="16"/>
      <c r="V180" s="16"/>
    </row>
    <row r="181" spans="1:22" ht="18">
      <c r="A181" s="41" t="s">
        <v>236</v>
      </c>
      <c r="B181" s="58">
        <f>(((B171)-(((B63*Q88)/(B69))*(I166))))</f>
        <v>706.91926977687626</v>
      </c>
      <c r="C181" s="59"/>
      <c r="D181" s="60" t="s">
        <v>89</v>
      </c>
      <c r="E181" s="60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6"/>
      <c r="U181" s="16"/>
      <c r="V181" s="16"/>
    </row>
    <row r="182" spans="1:22" ht="18">
      <c r="A182" s="52" t="s">
        <v>114</v>
      </c>
      <c r="B182" s="80">
        <f>(((B171)-(((B63/B69)*(I166)))))</f>
        <v>641.1991886409736</v>
      </c>
      <c r="C182" s="80"/>
      <c r="D182" s="60" t="s">
        <v>89</v>
      </c>
      <c r="E182" s="6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6"/>
      <c r="T182" s="16"/>
      <c r="U182" s="16"/>
      <c r="V182" s="16"/>
    </row>
    <row r="183" spans="1:22" ht="18">
      <c r="A183" s="41" t="s">
        <v>237</v>
      </c>
      <c r="B183" s="58">
        <f>(((B171)-((((B63/B69)+((E63*Q80)/(E69)))*(I166)))))</f>
        <v>633.8056795131846</v>
      </c>
      <c r="C183" s="59"/>
      <c r="D183" s="60" t="s">
        <v>89</v>
      </c>
      <c r="E183" s="60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6"/>
      <c r="T183" s="16"/>
      <c r="U183" s="16"/>
      <c r="V183" s="16"/>
    </row>
    <row r="184" spans="1:22" ht="18">
      <c r="A184" s="41" t="s">
        <v>238</v>
      </c>
      <c r="B184" s="58">
        <f>(((B171)-((((B63/B69)+((E63*Q81)/(E69)))*(I166)))))</f>
        <v>626.4121703853956</v>
      </c>
      <c r="C184" s="59"/>
      <c r="D184" s="60" t="s">
        <v>89</v>
      </c>
      <c r="E184" s="6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6"/>
      <c r="T184" s="16"/>
      <c r="U184" s="16"/>
      <c r="V184" s="16"/>
    </row>
    <row r="185" spans="1:22" ht="18">
      <c r="A185" s="41" t="s">
        <v>239</v>
      </c>
      <c r="B185" s="58">
        <f>(((B171)-((((B63/B69)+((E63*Q82)/(E69)))*(I166)))))</f>
        <v>619.01866125760648</v>
      </c>
      <c r="C185" s="59"/>
      <c r="D185" s="60" t="s">
        <v>89</v>
      </c>
      <c r="E185" s="60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6"/>
      <c r="T185" s="16"/>
      <c r="U185" s="16"/>
      <c r="V185" s="16"/>
    </row>
    <row r="186" spans="1:22" ht="18">
      <c r="A186" s="41" t="s">
        <v>240</v>
      </c>
      <c r="B186" s="58">
        <f>(((B171)-((((B63/B69)+((E63*Q83)/(E69)))*(I166)))))</f>
        <v>611.62515212981748</v>
      </c>
      <c r="C186" s="59"/>
      <c r="D186" s="60" t="s">
        <v>89</v>
      </c>
      <c r="E186" s="60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6"/>
      <c r="T186" s="16"/>
      <c r="U186" s="16"/>
      <c r="V186" s="16"/>
    </row>
    <row r="187" spans="1:22" ht="18">
      <c r="A187" s="41" t="s">
        <v>241</v>
      </c>
      <c r="B187" s="58">
        <f>(((B171)-((((B63/B69)+((E63*Q84)/(E69)))*(I166)))))</f>
        <v>604.23164300202836</v>
      </c>
      <c r="C187" s="59"/>
      <c r="D187" s="60" t="s">
        <v>89</v>
      </c>
      <c r="E187" s="60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6"/>
      <c r="U187" s="16"/>
      <c r="V187" s="16"/>
    </row>
    <row r="188" spans="1:22" ht="18">
      <c r="A188" s="41" t="s">
        <v>242</v>
      </c>
      <c r="B188" s="58">
        <f>(((B171)-((((B63/B69)+((E63*Q85)/(E69)))*(I166)))))</f>
        <v>596.83813387423936</v>
      </c>
      <c r="C188" s="59"/>
      <c r="D188" s="60" t="s">
        <v>89</v>
      </c>
      <c r="E188" s="6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6"/>
      <c r="T188" s="16"/>
      <c r="U188" s="16"/>
      <c r="V188" s="16"/>
    </row>
    <row r="189" spans="1:22" ht="18">
      <c r="A189" s="41" t="s">
        <v>243</v>
      </c>
      <c r="B189" s="58">
        <f>(((B171)-((((B63/B69)+((E63*Q86)/(E69)))*(I166)))))</f>
        <v>589.44462474645036</v>
      </c>
      <c r="C189" s="59"/>
      <c r="D189" s="60" t="s">
        <v>89</v>
      </c>
      <c r="E189" s="60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6"/>
      <c r="T189" s="16"/>
      <c r="U189" s="16"/>
      <c r="V189" s="16"/>
    </row>
    <row r="190" spans="1:22" ht="18">
      <c r="A190" s="41" t="s">
        <v>244</v>
      </c>
      <c r="B190" s="58">
        <f>(((B171)-((((B63/B69)+((E63*Q87)/(E69)))*(I166)))))</f>
        <v>582.05111561866124</v>
      </c>
      <c r="C190" s="59"/>
      <c r="D190" s="60" t="s">
        <v>89</v>
      </c>
      <c r="E190" s="6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6"/>
      <c r="T190" s="16"/>
      <c r="U190" s="16"/>
      <c r="V190" s="16"/>
    </row>
    <row r="191" spans="1:22" ht="18">
      <c r="A191" s="41" t="s">
        <v>245</v>
      </c>
      <c r="B191" s="58">
        <f>(((B171)-((((B63/B69)+((E63*Q88)/(E69)))*(I166)))))</f>
        <v>574.65760649087224</v>
      </c>
      <c r="C191" s="59"/>
      <c r="D191" s="60" t="s">
        <v>89</v>
      </c>
      <c r="E191" s="60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6"/>
      <c r="T191" s="16"/>
      <c r="U191" s="16"/>
      <c r="V191" s="16"/>
    </row>
    <row r="192" spans="1:22" ht="18">
      <c r="A192" s="52" t="s">
        <v>115</v>
      </c>
      <c r="B192" s="80">
        <f>(((B171)-(((B63/B69)+(E63/E69))*(I166))))</f>
        <v>567.26409736308312</v>
      </c>
      <c r="C192" s="80"/>
      <c r="D192" s="60" t="s">
        <v>89</v>
      </c>
      <c r="E192" s="6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6"/>
      <c r="T192" s="16"/>
      <c r="U192" s="16"/>
      <c r="V192" s="16"/>
    </row>
    <row r="193" spans="1:22" ht="18">
      <c r="A193" s="29" t="s">
        <v>163</v>
      </c>
      <c r="B193" s="58">
        <f>((((B171)-(((B63/B69)+(E63/E69)+((H63*Q80)/(H69)))*(I166)))))</f>
        <v>559.3776876267749</v>
      </c>
      <c r="C193" s="59"/>
      <c r="D193" s="60" t="s">
        <v>89</v>
      </c>
      <c r="E193" s="60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6"/>
      <c r="U193" s="16"/>
      <c r="V193" s="16"/>
    </row>
    <row r="194" spans="1:22" ht="18">
      <c r="A194" s="29" t="s">
        <v>164</v>
      </c>
      <c r="B194" s="58">
        <f>((((B171)-(((B63/B69)+(E63/E69)+((H63*Q81)/(H69)))*(I166)))))</f>
        <v>551.49127789046645</v>
      </c>
      <c r="C194" s="59"/>
      <c r="D194" s="60" t="s">
        <v>89</v>
      </c>
      <c r="E194" s="6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6"/>
      <c r="T194" s="16"/>
      <c r="U194" s="16"/>
      <c r="V194" s="16"/>
    </row>
    <row r="195" spans="1:22" ht="18">
      <c r="A195" s="29" t="s">
        <v>165</v>
      </c>
      <c r="B195" s="58">
        <f>((((B171)-(((B63/B69)+(E63/E69)+((H63*Q82)/(H69)))*(I166)))))</f>
        <v>543.60486815415823</v>
      </c>
      <c r="C195" s="59"/>
      <c r="D195" s="60" t="s">
        <v>89</v>
      </c>
      <c r="E195" s="60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6"/>
      <c r="T195" s="16"/>
      <c r="U195" s="16"/>
      <c r="V195" s="16"/>
    </row>
    <row r="196" spans="1:22" ht="18">
      <c r="A196" s="29" t="s">
        <v>166</v>
      </c>
      <c r="B196" s="58">
        <f>((((B171)-(((B63/B69)+(E63/E69)+((H63*Q83)/(H69)))*(I166)))))</f>
        <v>535.71845841785</v>
      </c>
      <c r="C196" s="59"/>
      <c r="D196" s="60" t="s">
        <v>89</v>
      </c>
      <c r="E196" s="6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6"/>
      <c r="T196" s="16"/>
      <c r="U196" s="16"/>
      <c r="V196" s="16"/>
    </row>
    <row r="197" spans="1:22" ht="18">
      <c r="A197" s="29" t="s">
        <v>167</v>
      </c>
      <c r="B197" s="58">
        <f>((((B171)-(((B63/B69)+(E63/E69)+((H63*Q84)/(H69)))*(I166)))))</f>
        <v>527.83204868154155</v>
      </c>
      <c r="C197" s="59"/>
      <c r="D197" s="60" t="s">
        <v>89</v>
      </c>
      <c r="E197" s="60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6"/>
      <c r="T197" s="16"/>
      <c r="U197" s="16"/>
      <c r="V197" s="16"/>
    </row>
    <row r="198" spans="1:22" ht="18">
      <c r="A198" s="29" t="s">
        <v>168</v>
      </c>
      <c r="B198" s="58">
        <f>((((B171)-(((B63/B69)+(E63/E69)+((H63*Q85)/(H69)))*(I166)))))</f>
        <v>519.94563894523321</v>
      </c>
      <c r="C198" s="59"/>
      <c r="D198" s="60" t="s">
        <v>89</v>
      </c>
      <c r="E198" s="60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6"/>
      <c r="T198" s="16"/>
      <c r="U198" s="16"/>
      <c r="V198" s="16"/>
    </row>
    <row r="199" spans="1:22" ht="18">
      <c r="A199" s="29" t="s">
        <v>169</v>
      </c>
      <c r="B199" s="58">
        <f>((((B171)-(((B63/B69)+(E63/E69)+((H63*Q86)/(H69)))*(I166)))))</f>
        <v>512.05922920892499</v>
      </c>
      <c r="C199" s="59"/>
      <c r="D199" s="60" t="s">
        <v>89</v>
      </c>
      <c r="E199" s="6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6"/>
      <c r="U199" s="16"/>
      <c r="V199" s="16"/>
    </row>
    <row r="200" spans="1:22" ht="18">
      <c r="A200" s="29" t="s">
        <v>170</v>
      </c>
      <c r="B200" s="58">
        <f>((((B171)-(((B63/B69)+(E63/E69)+((H63*Q87)/(H69)))*(I166)))))</f>
        <v>504.17281947261654</v>
      </c>
      <c r="C200" s="59"/>
      <c r="D200" s="60" t="s">
        <v>89</v>
      </c>
      <c r="E200" s="6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6"/>
      <c r="T200" s="16"/>
      <c r="U200" s="16"/>
      <c r="V200" s="16"/>
    </row>
    <row r="201" spans="1:22" ht="18">
      <c r="A201" s="29" t="s">
        <v>171</v>
      </c>
      <c r="B201" s="80">
        <f>((((B171)-(((B63/B69)+(E63/E69)+((H63*Q88)/(H69)))*(I166)))))</f>
        <v>496.28640973630831</v>
      </c>
      <c r="C201" s="80"/>
      <c r="D201" s="60" t="s">
        <v>89</v>
      </c>
      <c r="E201" s="60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6"/>
      <c r="T201" s="16"/>
      <c r="U201" s="16"/>
      <c r="V201" s="16"/>
    </row>
    <row r="202" spans="1:22" ht="18">
      <c r="A202" s="52" t="s">
        <v>270</v>
      </c>
      <c r="B202" s="80">
        <f>(((B171)-(((B63/B69)+(E63/E69)+(H63/H69))*(I166))))</f>
        <v>488.40000000000009</v>
      </c>
      <c r="C202" s="80"/>
      <c r="D202" s="60" t="s">
        <v>89</v>
      </c>
      <c r="E202" s="60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6"/>
      <c r="T202" s="16"/>
      <c r="U202" s="16"/>
      <c r="V202" s="16"/>
    </row>
    <row r="203" spans="1:22" ht="18">
      <c r="A203" s="51" t="s">
        <v>121</v>
      </c>
      <c r="B203" s="80">
        <f>B154</f>
        <v>488.40000000000003</v>
      </c>
      <c r="C203" s="80"/>
      <c r="D203" s="60" t="s">
        <v>89</v>
      </c>
      <c r="E203" s="60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6"/>
      <c r="T203" s="16"/>
      <c r="U203" s="16"/>
      <c r="V203" s="16"/>
    </row>
    <row r="204" spans="1:2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6"/>
      <c r="T204" s="16"/>
      <c r="U204" s="16"/>
      <c r="V204" s="16"/>
    </row>
    <row r="205" spans="1:2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6"/>
      <c r="U205" s="16"/>
      <c r="V205" s="16"/>
    </row>
    <row r="206" spans="1:2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6"/>
      <c r="T206" s="16"/>
      <c r="U206" s="16"/>
      <c r="V206" s="16"/>
    </row>
    <row r="207" spans="1:2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80" t="s">
        <v>123</v>
      </c>
      <c r="S207" s="80"/>
      <c r="T207" s="16"/>
      <c r="U207" s="16"/>
      <c r="V207" s="16"/>
    </row>
    <row r="208" spans="1:22" ht="1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8" t="s">
        <v>122</v>
      </c>
      <c r="S208" s="22" t="s">
        <v>124</v>
      </c>
      <c r="T208" s="16"/>
      <c r="U208" s="16"/>
      <c r="V208" s="16"/>
    </row>
    <row r="209" spans="1:2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9">
        <v>0</v>
      </c>
      <c r="S209" s="34">
        <v>0</v>
      </c>
      <c r="T209" s="16"/>
      <c r="U209" s="16"/>
      <c r="V209" s="16"/>
    </row>
    <row r="210" spans="1:2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9">
        <v>2500</v>
      </c>
      <c r="S210" s="35">
        <f>0.25*POWER(10,9)</f>
        <v>250000000</v>
      </c>
      <c r="T210" s="16"/>
      <c r="U210" s="16"/>
      <c r="V210" s="16"/>
    </row>
    <row r="211" spans="1:2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35">
        <f>0.5*POWER(10,9)</f>
        <v>500000000</v>
      </c>
      <c r="T211" s="17"/>
      <c r="U211" s="16"/>
      <c r="V211" s="16"/>
    </row>
    <row r="212" spans="1:2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34">
        <f>1*POWER(10,9)</f>
        <v>1000000000</v>
      </c>
      <c r="T212" s="17"/>
      <c r="U212" s="16"/>
      <c r="V212" s="16"/>
    </row>
    <row r="213" spans="1:22" ht="18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36" t="s">
        <v>186</v>
      </c>
      <c r="P213" s="26" t="s">
        <v>125</v>
      </c>
      <c r="Q213" s="27" t="s">
        <v>126</v>
      </c>
      <c r="R213" s="17"/>
      <c r="S213" s="34">
        <f>1.25*POWER(10,9)</f>
        <v>1250000000</v>
      </c>
      <c r="T213" s="17"/>
      <c r="U213" s="16"/>
    </row>
    <row r="214" spans="1:2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51" t="s">
        <v>184</v>
      </c>
      <c r="P214" s="29">
        <f t="shared" ref="P214:P245" si="3">P118</f>
        <v>2336.9511438023419</v>
      </c>
      <c r="Q214" s="29">
        <f t="shared" ref="Q214:Q245" si="4">B171</f>
        <v>1298.4000000000001</v>
      </c>
      <c r="R214" s="17"/>
      <c r="S214" s="34">
        <f>1.5*POWER(10,9)</f>
        <v>1500000000</v>
      </c>
      <c r="T214" s="17"/>
      <c r="U214" s="16"/>
    </row>
    <row r="215" spans="1:2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52" t="s">
        <v>172</v>
      </c>
      <c r="P215" s="29">
        <f t="shared" si="3"/>
        <v>1939.5314676279763</v>
      </c>
      <c r="Q215" s="29">
        <f t="shared" si="4"/>
        <v>1298.4000000000001</v>
      </c>
      <c r="R215" s="17"/>
      <c r="S215" s="34">
        <f>1.75*POWER(10,9)</f>
        <v>1750000000</v>
      </c>
      <c r="T215" s="17"/>
      <c r="U215" s="16"/>
    </row>
    <row r="216" spans="1:2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45" t="s">
        <v>248</v>
      </c>
      <c r="P216" s="50">
        <f t="shared" si="3"/>
        <v>1931.1869745258102</v>
      </c>
      <c r="Q216" s="45">
        <f t="shared" si="4"/>
        <v>1232.6799188640975</v>
      </c>
      <c r="R216" s="17"/>
      <c r="S216" s="34">
        <f>2*POWER(10,9)</f>
        <v>2000000000</v>
      </c>
      <c r="T216" s="17"/>
      <c r="U216" s="16"/>
    </row>
    <row r="217" spans="1:2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45" t="s">
        <v>249</v>
      </c>
      <c r="P217" s="50">
        <f t="shared" si="3"/>
        <v>1922.8739440371871</v>
      </c>
      <c r="Q217" s="45">
        <f t="shared" si="4"/>
        <v>1166.9598377281948</v>
      </c>
      <c r="R217" s="17"/>
      <c r="S217" s="34">
        <f>2.25*POWER(10,9)</f>
        <v>2250000000</v>
      </c>
      <c r="T217" s="17"/>
      <c r="U217" s="16"/>
    </row>
    <row r="218" spans="1:2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45" t="s">
        <v>250</v>
      </c>
      <c r="P218" s="50">
        <f t="shared" si="3"/>
        <v>1914.5922754693888</v>
      </c>
      <c r="Q218" s="45">
        <f t="shared" si="4"/>
        <v>1101.2397565922922</v>
      </c>
      <c r="R218" s="17"/>
      <c r="S218" s="34">
        <f>2.5*POWER(10,9)</f>
        <v>2500000000</v>
      </c>
      <c r="T218" s="17"/>
      <c r="U218" s="16"/>
    </row>
    <row r="219" spans="1:2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45" t="s">
        <v>251</v>
      </c>
      <c r="P219" s="50">
        <f t="shared" si="3"/>
        <v>1906.3418683886564</v>
      </c>
      <c r="Q219" s="45">
        <f t="shared" si="4"/>
        <v>1035.5196754563895</v>
      </c>
      <c r="R219" s="17"/>
      <c r="S219" s="34">
        <f>2.75*POWER(10,9)</f>
        <v>2750000000</v>
      </c>
      <c r="T219" s="17"/>
      <c r="U219" s="16"/>
    </row>
    <row r="220" spans="1:2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45" t="s">
        <v>252</v>
      </c>
      <c r="P220" s="50">
        <f t="shared" si="3"/>
        <v>1898.1226226197127</v>
      </c>
      <c r="Q220" s="45">
        <f t="shared" si="4"/>
        <v>969.7995943204869</v>
      </c>
      <c r="R220" s="17"/>
      <c r="S220" s="34">
        <f>3*POWER(10,9)</f>
        <v>3000000000</v>
      </c>
      <c r="T220" s="17"/>
      <c r="U220" s="16"/>
    </row>
    <row r="221" spans="1:2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45" t="s">
        <v>253</v>
      </c>
      <c r="P221" s="50">
        <f t="shared" si="3"/>
        <v>1889.9344382452891</v>
      </c>
      <c r="Q221" s="45">
        <f t="shared" si="4"/>
        <v>904.07951318458413</v>
      </c>
      <c r="R221" s="17"/>
      <c r="S221" s="34">
        <f>3.25*POWER(10,9)</f>
        <v>3250000000</v>
      </c>
      <c r="T221" s="17"/>
      <c r="U221" s="16"/>
    </row>
    <row r="222" spans="1: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45" t="s">
        <v>254</v>
      </c>
      <c r="P222" s="50">
        <f t="shared" si="3"/>
        <v>1881.7772156056442</v>
      </c>
      <c r="Q222" s="45">
        <f t="shared" si="4"/>
        <v>838.35943204868158</v>
      </c>
      <c r="R222" s="17"/>
      <c r="S222" s="34">
        <f>3.5*POWER(10,9)</f>
        <v>3500000000</v>
      </c>
      <c r="T222" s="17"/>
      <c r="U222" s="16"/>
    </row>
    <row r="223" spans="1:2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45" t="s">
        <v>255</v>
      </c>
      <c r="P223" s="50">
        <f t="shared" si="3"/>
        <v>1873.6508552980954</v>
      </c>
      <c r="Q223" s="45">
        <f t="shared" si="4"/>
        <v>772.63935091277892</v>
      </c>
      <c r="R223" s="17"/>
      <c r="S223" s="34">
        <f>3.75*POWER(10,9)</f>
        <v>3750000000</v>
      </c>
      <c r="T223" s="17"/>
      <c r="U223" s="16"/>
    </row>
    <row r="224" spans="1:2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45" t="s">
        <v>256</v>
      </c>
      <c r="P224" s="50">
        <f t="shared" si="3"/>
        <v>1865.5552581765403</v>
      </c>
      <c r="Q224" s="45">
        <f t="shared" si="4"/>
        <v>706.91926977687626</v>
      </c>
      <c r="R224" s="17"/>
      <c r="S224" s="34">
        <f>4*POWER(10,9)</f>
        <v>4000000000</v>
      </c>
      <c r="T224" s="17"/>
      <c r="U224" s="16"/>
    </row>
    <row r="225" spans="1:2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52" t="s">
        <v>173</v>
      </c>
      <c r="P225" s="29">
        <f t="shared" si="3"/>
        <v>1857.4903253509824</v>
      </c>
      <c r="Q225" s="29">
        <f t="shared" si="4"/>
        <v>641.1991886409736</v>
      </c>
      <c r="R225" s="17"/>
      <c r="S225" s="34">
        <f>4.25*POWER(10,9)</f>
        <v>4250000000</v>
      </c>
      <c r="T225" s="17"/>
      <c r="U225" s="16"/>
    </row>
    <row r="226" spans="1:2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45" t="s">
        <v>257</v>
      </c>
      <c r="P226" s="50">
        <f t="shared" si="3"/>
        <v>1817.6221823811297</v>
      </c>
      <c r="Q226" s="45">
        <f t="shared" si="4"/>
        <v>633.8056795131846</v>
      </c>
      <c r="R226" s="17"/>
      <c r="S226" s="34">
        <f>4.5*POWER(10,9)</f>
        <v>4500000000</v>
      </c>
      <c r="T226" s="17"/>
      <c r="U226" s="16"/>
    </row>
    <row r="227" spans="1:2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45" t="s">
        <v>258</v>
      </c>
      <c r="P227" s="50">
        <f t="shared" si="3"/>
        <v>1778.5059597453824</v>
      </c>
      <c r="Q227" s="45">
        <f t="shared" si="4"/>
        <v>626.4121703853956</v>
      </c>
      <c r="R227" s="17"/>
      <c r="S227" s="34">
        <f>4.75*POWER(10,9)</f>
        <v>4750000000</v>
      </c>
      <c r="T227" s="17"/>
      <c r="U227" s="16"/>
    </row>
    <row r="228" spans="1:2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8"/>
      <c r="O228" s="45" t="s">
        <v>259</v>
      </c>
      <c r="P228" s="50">
        <f t="shared" si="3"/>
        <v>1740.1295814794021</v>
      </c>
      <c r="Q228" s="45">
        <f t="shared" si="4"/>
        <v>619.01866125760648</v>
      </c>
      <c r="R228" s="17"/>
      <c r="S228" s="35">
        <f>5*POWER(10,9)</f>
        <v>5000000000</v>
      </c>
      <c r="T228" s="17"/>
      <c r="U228" s="16"/>
    </row>
    <row r="229" spans="1:2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45" t="s">
        <v>260</v>
      </c>
      <c r="P229" s="45">
        <f t="shared" si="3"/>
        <v>1702.4811281503598</v>
      </c>
      <c r="Q229" s="45">
        <f t="shared" si="4"/>
        <v>611.62515212981748</v>
      </c>
      <c r="R229" s="17"/>
      <c r="S229" s="35">
        <f>5.25*POWER(10,9)</f>
        <v>5250000000</v>
      </c>
      <c r="T229" s="17"/>
      <c r="U229" s="16"/>
    </row>
    <row r="230" spans="1:2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N230" s="17"/>
      <c r="O230" s="45" t="s">
        <v>261</v>
      </c>
      <c r="P230" s="50">
        <f t="shared" si="3"/>
        <v>1629.3210924617058</v>
      </c>
      <c r="Q230" s="45">
        <f t="shared" si="4"/>
        <v>604.23164300202836</v>
      </c>
      <c r="R230" s="17"/>
      <c r="S230" s="34">
        <f>5.5*POWER(10,9)</f>
        <v>5500000000</v>
      </c>
      <c r="T230" s="17"/>
      <c r="U230" s="16"/>
    </row>
    <row r="231" spans="1:22">
      <c r="A231" s="21"/>
      <c r="B231" s="21"/>
      <c r="C231" s="21"/>
      <c r="D231" s="21"/>
      <c r="E231" s="21"/>
      <c r="F231" s="17"/>
      <c r="G231" s="17"/>
      <c r="H231" s="17"/>
      <c r="I231" s="17"/>
      <c r="J231" s="17"/>
      <c r="K231" s="17"/>
      <c r="L231" s="17"/>
      <c r="N231" s="17"/>
      <c r="O231" s="45" t="s">
        <v>262</v>
      </c>
      <c r="P231" s="50">
        <f t="shared" si="3"/>
        <v>1629.3210924617058</v>
      </c>
      <c r="Q231" s="45">
        <f t="shared" si="4"/>
        <v>596.83813387423936</v>
      </c>
      <c r="R231" s="17"/>
      <c r="S231" s="34">
        <f>5.75*POWER(10,9)</f>
        <v>5750000000</v>
      </c>
      <c r="T231" s="17"/>
      <c r="U231" s="16"/>
    </row>
    <row r="232" spans="1:2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N232" s="17"/>
      <c r="O232" s="45" t="s">
        <v>263</v>
      </c>
      <c r="P232" s="50">
        <f t="shared" si="3"/>
        <v>1593.7864407656955</v>
      </c>
      <c r="Q232" s="45">
        <f t="shared" si="4"/>
        <v>589.44462474645036</v>
      </c>
      <c r="R232" s="17"/>
      <c r="S232" s="34">
        <f>6*POWER(10,9)</f>
        <v>6000000000</v>
      </c>
      <c r="T232" s="17"/>
      <c r="U232" s="16"/>
    </row>
    <row r="233" spans="1:2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N233" s="17"/>
      <c r="O233" s="45" t="s">
        <v>264</v>
      </c>
      <c r="P233" s="45">
        <f t="shared" si="3"/>
        <v>1558.9335724422579</v>
      </c>
      <c r="Q233" s="45">
        <f t="shared" si="4"/>
        <v>582.05111561866124</v>
      </c>
      <c r="R233" s="17"/>
      <c r="S233" s="34">
        <f>6.25*POWER(10,9)</f>
        <v>6250000000</v>
      </c>
      <c r="T233" s="17"/>
      <c r="U233" s="16"/>
    </row>
    <row r="234" spans="1:22">
      <c r="O234" s="45" t="s">
        <v>265</v>
      </c>
      <c r="P234" s="45">
        <f t="shared" si="3"/>
        <v>1524.7513289131857</v>
      </c>
      <c r="Q234" s="45">
        <f t="shared" si="4"/>
        <v>574.65760649087224</v>
      </c>
      <c r="R234" s="17"/>
      <c r="S234" s="34">
        <f>6.5*POWER(10,9)</f>
        <v>6500000000</v>
      </c>
      <c r="T234" s="16"/>
      <c r="U234" s="16"/>
    </row>
    <row r="235" spans="1:2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N235" s="17"/>
      <c r="O235" s="52" t="s">
        <v>174</v>
      </c>
      <c r="P235" s="45">
        <f t="shared" si="3"/>
        <v>1491.228699457389</v>
      </c>
      <c r="Q235" s="45">
        <f t="shared" si="4"/>
        <v>567.26409736308312</v>
      </c>
      <c r="R235" s="17"/>
      <c r="S235" s="34">
        <f>6.75*POWER(10,9)</f>
        <v>6750000000</v>
      </c>
      <c r="T235" s="16"/>
      <c r="U235" s="16"/>
    </row>
    <row r="236" spans="1:2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N236" s="17"/>
      <c r="O236" s="29" t="s">
        <v>175</v>
      </c>
      <c r="P236" s="45">
        <f t="shared" si="3"/>
        <v>1378.9384088225697</v>
      </c>
      <c r="Q236" s="45">
        <f t="shared" si="4"/>
        <v>559.3776876267749</v>
      </c>
      <c r="R236" s="17"/>
      <c r="S236" s="34">
        <f>7*POWER(10,9)</f>
        <v>7000000000</v>
      </c>
      <c r="T236" s="16"/>
    </row>
    <row r="237" spans="1:2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N237" s="17"/>
      <c r="O237" s="29" t="s">
        <v>176</v>
      </c>
      <c r="P237" s="45">
        <f t="shared" si="3"/>
        <v>1274.1449828761019</v>
      </c>
      <c r="Q237" s="45">
        <f t="shared" si="4"/>
        <v>551.49127789046645</v>
      </c>
      <c r="R237" s="17"/>
      <c r="S237" s="34">
        <f>7.25*POWER(10,9)</f>
        <v>7250000000</v>
      </c>
      <c r="T237" s="16"/>
    </row>
    <row r="238" spans="1:2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N238" s="17"/>
      <c r="O238" s="29" t="s">
        <v>177</v>
      </c>
      <c r="P238" s="45">
        <f t="shared" si="3"/>
        <v>1176.4174647241093</v>
      </c>
      <c r="Q238" s="45">
        <f t="shared" si="4"/>
        <v>543.60486815415823</v>
      </c>
      <c r="R238" s="17"/>
      <c r="S238" s="34">
        <f>7.5*POWER(10,9)</f>
        <v>7500000000</v>
      </c>
      <c r="T238" s="16"/>
    </row>
    <row r="239" spans="1:2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N239" s="17"/>
      <c r="O239" s="29" t="s">
        <v>178</v>
      </c>
      <c r="P239" s="45">
        <f t="shared" si="3"/>
        <v>1085.3452039842432</v>
      </c>
      <c r="Q239" s="45">
        <f t="shared" si="4"/>
        <v>535.71845841785</v>
      </c>
      <c r="R239" s="17"/>
      <c r="S239" s="34">
        <f>7.75*POWER(10,9)</f>
        <v>7750000000</v>
      </c>
      <c r="T239" s="16"/>
      <c r="U239" s="16"/>
    </row>
    <row r="240" spans="1:2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N240" s="17"/>
      <c r="O240" s="29" t="s">
        <v>179</v>
      </c>
      <c r="P240" s="45">
        <f t="shared" si="3"/>
        <v>1000.5371475954216</v>
      </c>
      <c r="Q240" s="45">
        <f t="shared" si="4"/>
        <v>527.83204868154155</v>
      </c>
      <c r="R240" s="17"/>
      <c r="S240" s="34">
        <f>8*POWER(10,9)</f>
        <v>8000000000</v>
      </c>
      <c r="T240" s="16"/>
      <c r="V240" s="16"/>
    </row>
    <row r="241" spans="1:2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N241" s="17"/>
      <c r="O241" s="29" t="s">
        <v>180</v>
      </c>
      <c r="P241" s="45">
        <f t="shared" si="3"/>
        <v>921.6211439202915</v>
      </c>
      <c r="Q241" s="45">
        <f t="shared" si="4"/>
        <v>519.94563894523321</v>
      </c>
      <c r="R241" s="17"/>
      <c r="S241" s="34">
        <f>8.25*POWER(10,9)</f>
        <v>8250000000</v>
      </c>
      <c r="T241" s="16"/>
      <c r="U241" s="16"/>
      <c r="V241" s="16"/>
    </row>
    <row r="242" spans="1:2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N242" s="17"/>
      <c r="O242" s="29" t="s">
        <v>181</v>
      </c>
      <c r="P242" s="45">
        <f t="shared" si="3"/>
        <v>848.24326032760007</v>
      </c>
      <c r="Q242" s="45">
        <f t="shared" si="4"/>
        <v>512.05922920892499</v>
      </c>
      <c r="R242" s="17"/>
      <c r="S242" s="34">
        <f>8.5*POWER(10,9)</f>
        <v>8500000000</v>
      </c>
      <c r="T242" s="16"/>
      <c r="U242" s="16"/>
      <c r="V242" s="16"/>
    </row>
    <row r="243" spans="1:2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N243" s="17"/>
      <c r="O243" s="29" t="s">
        <v>182</v>
      </c>
      <c r="P243" s="45">
        <f t="shared" si="3"/>
        <v>780.06711442601238</v>
      </c>
      <c r="Q243" s="45">
        <f t="shared" si="4"/>
        <v>504.17281947261654</v>
      </c>
      <c r="R243" s="17"/>
      <c r="S243" s="34">
        <f>8.75*POWER(10,9)</f>
        <v>8750000000</v>
      </c>
      <c r="T243" s="16"/>
      <c r="U243" s="16"/>
      <c r="V243" s="16"/>
    </row>
    <row r="244" spans="1:2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N244" s="17"/>
      <c r="O244" s="29" t="s">
        <v>183</v>
      </c>
      <c r="P244" s="45">
        <f t="shared" si="3"/>
        <v>716.77321910507158</v>
      </c>
      <c r="Q244" s="45">
        <f t="shared" si="4"/>
        <v>496.28640973630831</v>
      </c>
      <c r="R244" s="17"/>
      <c r="S244" s="34">
        <f>9*POWER(10,9)</f>
        <v>9000000000</v>
      </c>
      <c r="T244" s="16"/>
      <c r="U244" s="16"/>
      <c r="V244" s="16"/>
    </row>
    <row r="245" spans="1:2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52" t="s">
        <v>271</v>
      </c>
      <c r="P245" s="45">
        <f t="shared" si="3"/>
        <v>658.05834152303328</v>
      </c>
      <c r="Q245" s="45">
        <f t="shared" si="4"/>
        <v>488.40000000000009</v>
      </c>
      <c r="R245" s="17"/>
      <c r="S245" s="22"/>
      <c r="T245" s="16"/>
      <c r="U245" s="16"/>
      <c r="V245" s="16"/>
    </row>
    <row r="246" spans="1:2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51" t="s">
        <v>185</v>
      </c>
      <c r="P246" s="29">
        <f t="shared" ref="P246" si="5">P150</f>
        <v>610.5</v>
      </c>
      <c r="Q246" s="29">
        <f t="shared" ref="Q246" si="6">B203</f>
        <v>488.40000000000003</v>
      </c>
      <c r="R246" s="17"/>
      <c r="S246" s="22"/>
      <c r="T246" s="16"/>
      <c r="U246" s="16"/>
      <c r="V246" s="16"/>
    </row>
    <row r="247" spans="1:2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22"/>
      <c r="T247" s="16"/>
      <c r="U247" s="16"/>
      <c r="V247" s="16"/>
    </row>
    <row r="248" spans="1:22" ht="1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22" t="s">
        <v>124</v>
      </c>
      <c r="T248" s="16"/>
      <c r="U248" s="16"/>
      <c r="V248" s="16"/>
    </row>
    <row r="249" spans="1:2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6"/>
      <c r="T249" s="16"/>
      <c r="U249" s="16"/>
      <c r="V249" s="16"/>
    </row>
    <row r="250" spans="1:2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6"/>
      <c r="T250" s="16"/>
      <c r="U250" s="16"/>
      <c r="V250" s="16"/>
    </row>
    <row r="251" spans="1:2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6"/>
      <c r="T251" s="16"/>
      <c r="U251" s="16"/>
      <c r="V251" s="16"/>
    </row>
    <row r="252" spans="1:2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6"/>
      <c r="T252" s="16"/>
      <c r="U252" s="16"/>
      <c r="V252" s="16"/>
    </row>
    <row r="253" spans="1:2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6"/>
      <c r="T253" s="16"/>
      <c r="U253" s="16"/>
      <c r="V253" s="16"/>
    </row>
    <row r="254" spans="1:22" ht="18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36" t="s">
        <v>186</v>
      </c>
      <c r="P254" s="26" t="s">
        <v>125</v>
      </c>
      <c r="Q254" s="27" t="s">
        <v>126</v>
      </c>
      <c r="R254" s="17"/>
      <c r="S254" s="16"/>
      <c r="T254" s="16"/>
      <c r="U254" s="16"/>
      <c r="V254" s="16"/>
    </row>
    <row r="255" spans="1:2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45" t="s">
        <v>184</v>
      </c>
      <c r="P255" s="45">
        <f>P214</f>
        <v>2336.9511438023419</v>
      </c>
      <c r="Q255" s="45">
        <f>Q214</f>
        <v>1298.4000000000001</v>
      </c>
      <c r="R255" s="17"/>
      <c r="S255" s="16"/>
      <c r="T255" s="16"/>
      <c r="U255" s="16"/>
      <c r="V255" s="16"/>
    </row>
    <row r="256" spans="1:2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45" t="s">
        <v>172</v>
      </c>
      <c r="P256" s="45">
        <f>P215</f>
        <v>1939.5314676279763</v>
      </c>
      <c r="Q256" s="45">
        <f>Q215</f>
        <v>1298.4000000000001</v>
      </c>
      <c r="R256" s="17"/>
      <c r="S256" s="16"/>
      <c r="T256" s="16"/>
      <c r="U256" s="16"/>
      <c r="V256" s="16"/>
    </row>
    <row r="257" spans="1:2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45" t="s">
        <v>173</v>
      </c>
      <c r="P257" s="45">
        <f>P225</f>
        <v>1857.4903253509824</v>
      </c>
      <c r="Q257" s="45">
        <f>Q225</f>
        <v>641.1991886409736</v>
      </c>
      <c r="R257" s="17"/>
      <c r="S257" s="16"/>
      <c r="T257" s="16"/>
      <c r="U257" s="16"/>
      <c r="V257" s="16"/>
    </row>
    <row r="258" spans="1:2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45" t="s">
        <v>174</v>
      </c>
      <c r="P258" s="45">
        <f>P235</f>
        <v>1491.228699457389</v>
      </c>
      <c r="Q258" s="45">
        <f>Q235</f>
        <v>567.26409736308312</v>
      </c>
      <c r="R258" s="17"/>
      <c r="S258" s="16"/>
      <c r="T258" s="16"/>
      <c r="U258" s="16"/>
      <c r="V258" s="16"/>
    </row>
    <row r="259" spans="1:2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49" t="s">
        <v>271</v>
      </c>
      <c r="P259" s="45">
        <f>P245</f>
        <v>658.05834152303328</v>
      </c>
      <c r="Q259" s="45">
        <f>Q245</f>
        <v>488.40000000000009</v>
      </c>
      <c r="R259" s="17"/>
      <c r="S259" s="16"/>
      <c r="T259" s="16"/>
      <c r="U259" s="16"/>
      <c r="V259" s="16"/>
    </row>
    <row r="260" spans="1:2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45" t="s">
        <v>185</v>
      </c>
      <c r="P260" s="45">
        <f>P246</f>
        <v>610.5</v>
      </c>
      <c r="Q260" s="45">
        <f>Q246</f>
        <v>488.40000000000003</v>
      </c>
      <c r="R260" s="17"/>
      <c r="S260" s="16"/>
      <c r="T260" s="16"/>
      <c r="U260" s="16"/>
      <c r="V260" s="16"/>
    </row>
    <row r="261" spans="1:2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6"/>
      <c r="T261" s="16"/>
      <c r="U261" s="16"/>
      <c r="V261" s="16"/>
    </row>
    <row r="262" spans="1:2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6"/>
      <c r="T262" s="16"/>
      <c r="U262" s="16"/>
      <c r="V262" s="16"/>
    </row>
    <row r="263" spans="1:2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6"/>
      <c r="T263" s="16"/>
      <c r="U263" s="16"/>
      <c r="V263" s="16"/>
    </row>
    <row r="264" spans="1:2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6"/>
      <c r="T264" s="16"/>
      <c r="U264" s="16"/>
      <c r="V264" s="16"/>
    </row>
    <row r="265" spans="1:2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6"/>
      <c r="T265" s="16"/>
      <c r="U265" s="16"/>
      <c r="V265" s="16"/>
    </row>
    <row r="266" spans="1:2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6"/>
      <c r="T266" s="16"/>
      <c r="U266" s="16"/>
      <c r="V266" s="16"/>
    </row>
    <row r="267" spans="1:2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6"/>
      <c r="T267" s="16"/>
      <c r="U267" s="16"/>
      <c r="V267" s="16"/>
    </row>
    <row r="268" spans="1:2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>
      <c r="A276" s="73" t="s">
        <v>133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16"/>
      <c r="P276" s="16"/>
      <c r="Q276" s="16"/>
      <c r="R276" s="16"/>
      <c r="S276" s="16"/>
      <c r="T276" s="16"/>
      <c r="U276" s="16"/>
      <c r="V276" s="16"/>
    </row>
    <row r="277" spans="1:2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1:2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</sheetData>
  <mergeCells count="491">
    <mergeCell ref="Z66:AD68"/>
    <mergeCell ref="D189:E189"/>
    <mergeCell ref="D190:E190"/>
    <mergeCell ref="D191:E191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D179:E179"/>
    <mergeCell ref="D180:E180"/>
    <mergeCell ref="D181:E181"/>
    <mergeCell ref="D183:E183"/>
    <mergeCell ref="D184:E184"/>
    <mergeCell ref="D185:E185"/>
    <mergeCell ref="D186:E186"/>
    <mergeCell ref="D187:E187"/>
    <mergeCell ref="D188:E188"/>
    <mergeCell ref="A276:N276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B193:C193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B194:C194"/>
    <mergeCell ref="B195:C195"/>
    <mergeCell ref="B196:C196"/>
    <mergeCell ref="B197:C197"/>
    <mergeCell ref="B198:C198"/>
    <mergeCell ref="B199:C199"/>
    <mergeCell ref="B200:C200"/>
    <mergeCell ref="A161:E161"/>
    <mergeCell ref="A163:D163"/>
    <mergeCell ref="F163:G163"/>
    <mergeCell ref="B166:C166"/>
    <mergeCell ref="D166:E166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D173:E173"/>
    <mergeCell ref="D174:E174"/>
    <mergeCell ref="D175:E175"/>
    <mergeCell ref="D176:E176"/>
    <mergeCell ref="D177:E177"/>
    <mergeCell ref="D178:E178"/>
    <mergeCell ref="Q89:R89"/>
    <mergeCell ref="D106:E106"/>
    <mergeCell ref="D107:E107"/>
    <mergeCell ref="D108:E108"/>
    <mergeCell ref="D109:E109"/>
    <mergeCell ref="D110:E110"/>
    <mergeCell ref="B100:C100"/>
    <mergeCell ref="D103:E103"/>
    <mergeCell ref="D104:E104"/>
    <mergeCell ref="D105:E105"/>
    <mergeCell ref="B90:C90"/>
    <mergeCell ref="B93:C93"/>
    <mergeCell ref="B94:C94"/>
    <mergeCell ref="B95:C95"/>
    <mergeCell ref="B96:C96"/>
    <mergeCell ref="Q81:R81"/>
    <mergeCell ref="Q84:R84"/>
    <mergeCell ref="Q85:R85"/>
    <mergeCell ref="Q82:R82"/>
    <mergeCell ref="Q83:R83"/>
    <mergeCell ref="B111:C111"/>
    <mergeCell ref="D111:E111"/>
    <mergeCell ref="B77:D77"/>
    <mergeCell ref="B81:C81"/>
    <mergeCell ref="E77:F77"/>
    <mergeCell ref="D81:E81"/>
    <mergeCell ref="B91:C91"/>
    <mergeCell ref="D91:E91"/>
    <mergeCell ref="A79:E79"/>
    <mergeCell ref="B101:C101"/>
    <mergeCell ref="D101:E101"/>
    <mergeCell ref="L79:P79"/>
    <mergeCell ref="I92:R94"/>
    <mergeCell ref="D89:E89"/>
    <mergeCell ref="D90:E90"/>
    <mergeCell ref="B86:C86"/>
    <mergeCell ref="B87:C87"/>
    <mergeCell ref="B88:C88"/>
    <mergeCell ref="B89:C89"/>
    <mergeCell ref="B74:D74"/>
    <mergeCell ref="E74:F74"/>
    <mergeCell ref="M9:N10"/>
    <mergeCell ref="M12:N12"/>
    <mergeCell ref="A15:C15"/>
    <mergeCell ref="A19:C20"/>
    <mergeCell ref="A22:C23"/>
    <mergeCell ref="A17:C17"/>
    <mergeCell ref="A34:C34"/>
    <mergeCell ref="A36:C37"/>
    <mergeCell ref="A39:C40"/>
    <mergeCell ref="E39:H40"/>
    <mergeCell ref="E36:H37"/>
    <mergeCell ref="A28:C29"/>
    <mergeCell ref="F28:H29"/>
    <mergeCell ref="J28:L29"/>
    <mergeCell ref="E45:H47"/>
    <mergeCell ref="M49:N50"/>
    <mergeCell ref="I45:J47"/>
    <mergeCell ref="M45:P47"/>
    <mergeCell ref="A58:O58"/>
    <mergeCell ref="A59:O59"/>
    <mergeCell ref="A45:C47"/>
    <mergeCell ref="A31:C32"/>
    <mergeCell ref="Y72:Z72"/>
    <mergeCell ref="AA72:AB72"/>
    <mergeCell ref="V65:W65"/>
    <mergeCell ref="V66:W67"/>
    <mergeCell ref="A1:N2"/>
    <mergeCell ref="M8:N8"/>
    <mergeCell ref="A25:C26"/>
    <mergeCell ref="F25:J26"/>
    <mergeCell ref="L25:N26"/>
    <mergeCell ref="A42:C43"/>
    <mergeCell ref="E42:G43"/>
    <mergeCell ref="M52:N53"/>
    <mergeCell ref="J52:K54"/>
    <mergeCell ref="V69:W69"/>
    <mergeCell ref="R8:X10"/>
    <mergeCell ref="R11:X12"/>
    <mergeCell ref="R7:X7"/>
    <mergeCell ref="A52:C53"/>
    <mergeCell ref="E49:G50"/>
    <mergeCell ref="I49:K49"/>
    <mergeCell ref="I50:K50"/>
    <mergeCell ref="E52:H53"/>
    <mergeCell ref="Q45:R47"/>
    <mergeCell ref="F31:H32"/>
    <mergeCell ref="J31:M32"/>
    <mergeCell ref="A49:C50"/>
    <mergeCell ref="H42:J43"/>
    <mergeCell ref="M42:O43"/>
    <mergeCell ref="P42:R43"/>
    <mergeCell ref="AD19:AF20"/>
    <mergeCell ref="F22:H23"/>
    <mergeCell ref="J22:L23"/>
    <mergeCell ref="N22:P23"/>
    <mergeCell ref="R22:T23"/>
    <mergeCell ref="V22:X23"/>
    <mergeCell ref="J36:M37"/>
    <mergeCell ref="O36:R37"/>
    <mergeCell ref="T36:V37"/>
    <mergeCell ref="F19:K20"/>
    <mergeCell ref="M19:O20"/>
    <mergeCell ref="Q19:S20"/>
    <mergeCell ref="U19:X20"/>
    <mergeCell ref="Z19:AB20"/>
    <mergeCell ref="B148:C148"/>
    <mergeCell ref="D140:E140"/>
    <mergeCell ref="D141:E141"/>
    <mergeCell ref="D142:E142"/>
    <mergeCell ref="D143:E143"/>
    <mergeCell ref="D144:E144"/>
    <mergeCell ref="D147:E147"/>
    <mergeCell ref="D148:E148"/>
    <mergeCell ref="B145:C145"/>
    <mergeCell ref="B146:C146"/>
    <mergeCell ref="D145:E145"/>
    <mergeCell ref="D146:E146"/>
    <mergeCell ref="B129:C129"/>
    <mergeCell ref="D129:E129"/>
    <mergeCell ref="B139:C139"/>
    <mergeCell ref="D139:E139"/>
    <mergeCell ref="B118:C118"/>
    <mergeCell ref="D118:E118"/>
    <mergeCell ref="A117:E117"/>
    <mergeCell ref="B119:C119"/>
    <mergeCell ref="D119:E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D120:E120"/>
    <mergeCell ref="D121:E121"/>
    <mergeCell ref="D122:E122"/>
    <mergeCell ref="D123:E123"/>
    <mergeCell ref="D124:E124"/>
    <mergeCell ref="D125:E125"/>
    <mergeCell ref="A155:E155"/>
    <mergeCell ref="A152:E152"/>
    <mergeCell ref="B149:C149"/>
    <mergeCell ref="D149:E149"/>
    <mergeCell ref="A3:N3"/>
    <mergeCell ref="H165:L165"/>
    <mergeCell ref="A165:E165"/>
    <mergeCell ref="Q157:R157"/>
    <mergeCell ref="Q158:R158"/>
    <mergeCell ref="S154:U154"/>
    <mergeCell ref="S155:T155"/>
    <mergeCell ref="S156:T156"/>
    <mergeCell ref="S157:T157"/>
    <mergeCell ref="S158:T158"/>
    <mergeCell ref="Q153:U153"/>
    <mergeCell ref="Q154:R154"/>
    <mergeCell ref="Q155:R155"/>
    <mergeCell ref="Q156:R156"/>
    <mergeCell ref="A157:E157"/>
    <mergeCell ref="B158:C158"/>
    <mergeCell ref="D158:E158"/>
    <mergeCell ref="F157:K158"/>
    <mergeCell ref="L157:L158"/>
    <mergeCell ref="M157:N157"/>
    <mergeCell ref="M158:N158"/>
    <mergeCell ref="B154:C154"/>
    <mergeCell ref="D154:E154"/>
    <mergeCell ref="B156:C156"/>
    <mergeCell ref="B203:C203"/>
    <mergeCell ref="D203:E203"/>
    <mergeCell ref="B150:C150"/>
    <mergeCell ref="D150:E150"/>
    <mergeCell ref="R207:S207"/>
    <mergeCell ref="B202:C202"/>
    <mergeCell ref="D202:E202"/>
    <mergeCell ref="B182:C182"/>
    <mergeCell ref="D182:E182"/>
    <mergeCell ref="B192:C192"/>
    <mergeCell ref="D192:E192"/>
    <mergeCell ref="B201:C201"/>
    <mergeCell ref="D201:E201"/>
    <mergeCell ref="B171:C171"/>
    <mergeCell ref="D171:E171"/>
    <mergeCell ref="B172:C172"/>
    <mergeCell ref="D172:E172"/>
    <mergeCell ref="I166:J166"/>
    <mergeCell ref="K166:L166"/>
    <mergeCell ref="D156:E156"/>
    <mergeCell ref="I129:J129"/>
    <mergeCell ref="I118:J118"/>
    <mergeCell ref="I119:J119"/>
    <mergeCell ref="I139:J139"/>
    <mergeCell ref="I149:J149"/>
    <mergeCell ref="I150:J150"/>
    <mergeCell ref="H117:L117"/>
    <mergeCell ref="K118:L118"/>
    <mergeCell ref="K119:L119"/>
    <mergeCell ref="K129:L129"/>
    <mergeCell ref="K139:L139"/>
    <mergeCell ref="K149:L149"/>
    <mergeCell ref="K145:L145"/>
    <mergeCell ref="K146:L146"/>
    <mergeCell ref="K147:L147"/>
    <mergeCell ref="K148:L148"/>
    <mergeCell ref="I140:J140"/>
    <mergeCell ref="I141:J141"/>
    <mergeCell ref="I142:J142"/>
    <mergeCell ref="I143:J143"/>
    <mergeCell ref="P139:Q139"/>
    <mergeCell ref="P149:Q149"/>
    <mergeCell ref="P150:Q150"/>
    <mergeCell ref="O117:S117"/>
    <mergeCell ref="R118:S118"/>
    <mergeCell ref="R119:S119"/>
    <mergeCell ref="R129:S129"/>
    <mergeCell ref="R139:S139"/>
    <mergeCell ref="R149:S149"/>
    <mergeCell ref="P123:Q123"/>
    <mergeCell ref="K150:L150"/>
    <mergeCell ref="H116:L116"/>
    <mergeCell ref="O116:S116"/>
    <mergeCell ref="AB78:AI78"/>
    <mergeCell ref="AB87:AI87"/>
    <mergeCell ref="AB88:AI88"/>
    <mergeCell ref="AB89:AI89"/>
    <mergeCell ref="AB90:AI90"/>
    <mergeCell ref="AB91:AI91"/>
    <mergeCell ref="AB92:AI92"/>
    <mergeCell ref="R150:S150"/>
    <mergeCell ref="AB93:AI93"/>
    <mergeCell ref="AB94:AI94"/>
    <mergeCell ref="Q86:R86"/>
    <mergeCell ref="Q87:R87"/>
    <mergeCell ref="Q88:R88"/>
    <mergeCell ref="K140:L140"/>
    <mergeCell ref="K141:L141"/>
    <mergeCell ref="K142:L142"/>
    <mergeCell ref="K143:L143"/>
    <mergeCell ref="K144:L144"/>
    <mergeCell ref="P118:Q118"/>
    <mergeCell ref="I146:J146"/>
    <mergeCell ref="P119:Q119"/>
    <mergeCell ref="L88:M88"/>
    <mergeCell ref="L89:M89"/>
    <mergeCell ref="L80:M80"/>
    <mergeCell ref="L81:M81"/>
    <mergeCell ref="L82:M82"/>
    <mergeCell ref="L83:M83"/>
    <mergeCell ref="L84:M84"/>
    <mergeCell ref="L85:M85"/>
    <mergeCell ref="L86:M86"/>
    <mergeCell ref="L87:M87"/>
    <mergeCell ref="R148:S148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B140:C140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B141:C141"/>
    <mergeCell ref="B142:C142"/>
    <mergeCell ref="B143:C143"/>
    <mergeCell ref="B144:C144"/>
    <mergeCell ref="B147:C147"/>
    <mergeCell ref="I147:J147"/>
    <mergeCell ref="I148:J148"/>
    <mergeCell ref="B92:C92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26:E126"/>
    <mergeCell ref="D127:E127"/>
    <mergeCell ref="D128:E128"/>
    <mergeCell ref="B130:C130"/>
    <mergeCell ref="B131:C131"/>
    <mergeCell ref="B132:C132"/>
    <mergeCell ref="B133:C133"/>
    <mergeCell ref="B134:C134"/>
    <mergeCell ref="B135:C135"/>
    <mergeCell ref="A116:E116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D102:E102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B136:C136"/>
    <mergeCell ref="B137:C137"/>
    <mergeCell ref="B138:C138"/>
    <mergeCell ref="D130:E130"/>
    <mergeCell ref="B80:C80"/>
    <mergeCell ref="D80:E80"/>
    <mergeCell ref="D82:E82"/>
    <mergeCell ref="D83:E83"/>
    <mergeCell ref="D84:E84"/>
    <mergeCell ref="D85:E85"/>
    <mergeCell ref="D86:E86"/>
    <mergeCell ref="D87:E87"/>
    <mergeCell ref="D88:E88"/>
    <mergeCell ref="B82:C82"/>
    <mergeCell ref="B83:C83"/>
    <mergeCell ref="B84:C84"/>
    <mergeCell ref="B85:C85"/>
    <mergeCell ref="B97:C97"/>
    <mergeCell ref="B98:C98"/>
    <mergeCell ref="B99:C99"/>
    <mergeCell ref="P120:Q120"/>
    <mergeCell ref="R120:S120"/>
    <mergeCell ref="P121:Q121"/>
    <mergeCell ref="R121:S121"/>
    <mergeCell ref="P122:Q122"/>
    <mergeCell ref="R122:S122"/>
    <mergeCell ref="B112:C112"/>
    <mergeCell ref="D112:E112"/>
    <mergeCell ref="R131:S131"/>
    <mergeCell ref="P132:Q132"/>
    <mergeCell ref="R132:S132"/>
    <mergeCell ref="P133:Q133"/>
    <mergeCell ref="R133:S133"/>
    <mergeCell ref="R123:S123"/>
    <mergeCell ref="P124:Q124"/>
    <mergeCell ref="R124:S124"/>
    <mergeCell ref="P125:Q125"/>
    <mergeCell ref="R125:S125"/>
    <mergeCell ref="P126:Q126"/>
    <mergeCell ref="R126:S126"/>
    <mergeCell ref="P127:Q127"/>
    <mergeCell ref="R127:S127"/>
    <mergeCell ref="P129:Q129"/>
    <mergeCell ref="K128:L128"/>
    <mergeCell ref="I130:J130"/>
    <mergeCell ref="K130:L130"/>
    <mergeCell ref="P134:Q134"/>
    <mergeCell ref="R134:S134"/>
    <mergeCell ref="P135:Q135"/>
    <mergeCell ref="R135:S135"/>
    <mergeCell ref="P136:Q136"/>
    <mergeCell ref="R136:S136"/>
    <mergeCell ref="P137:Q137"/>
    <mergeCell ref="R137:S137"/>
    <mergeCell ref="P138:Q138"/>
    <mergeCell ref="R138:S138"/>
    <mergeCell ref="P128:Q128"/>
    <mergeCell ref="R128:S128"/>
    <mergeCell ref="P130:Q130"/>
    <mergeCell ref="R130:S130"/>
    <mergeCell ref="P131:Q131"/>
    <mergeCell ref="I144:J144"/>
    <mergeCell ref="I145:J145"/>
    <mergeCell ref="I120:J120"/>
    <mergeCell ref="K120:L120"/>
    <mergeCell ref="I121:J121"/>
    <mergeCell ref="K121:L121"/>
    <mergeCell ref="I122:J122"/>
    <mergeCell ref="K122:L122"/>
    <mergeCell ref="I123:J123"/>
    <mergeCell ref="K123:L123"/>
    <mergeCell ref="I124:J124"/>
    <mergeCell ref="K124:L124"/>
    <mergeCell ref="I125:J125"/>
    <mergeCell ref="K125:L125"/>
    <mergeCell ref="I126:J126"/>
    <mergeCell ref="K126:L126"/>
    <mergeCell ref="I127:J127"/>
    <mergeCell ref="K127:L127"/>
    <mergeCell ref="I128:J128"/>
    <mergeCell ref="Q79:R79"/>
    <mergeCell ref="I136:J136"/>
    <mergeCell ref="K136:L136"/>
    <mergeCell ref="I137:J137"/>
    <mergeCell ref="K137:L137"/>
    <mergeCell ref="I138:J138"/>
    <mergeCell ref="K138:L138"/>
    <mergeCell ref="I131:J131"/>
    <mergeCell ref="K131:L131"/>
    <mergeCell ref="I132:J132"/>
    <mergeCell ref="K132:L132"/>
    <mergeCell ref="I133:J133"/>
    <mergeCell ref="N80:P80"/>
    <mergeCell ref="Q80:R80"/>
    <mergeCell ref="N81:P89"/>
    <mergeCell ref="K133:L133"/>
    <mergeCell ref="I134:J134"/>
    <mergeCell ref="K134:L134"/>
    <mergeCell ref="I135:J135"/>
    <mergeCell ref="K135:L135"/>
    <mergeCell ref="A60:O60"/>
    <mergeCell ref="A169:E170"/>
    <mergeCell ref="AB79:AI8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di Pavia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Fontana</dc:creator>
  <cp:lastModifiedBy>Marco Fontana</cp:lastModifiedBy>
  <dcterms:created xsi:type="dcterms:W3CDTF">2011-10-15T09:00:57Z</dcterms:created>
  <dcterms:modified xsi:type="dcterms:W3CDTF">2011-11-06T14:51:17Z</dcterms:modified>
</cp:coreProperties>
</file>